
<file path=[Content_Types].xml><?xml version="1.0" encoding="utf-8"?>
<Types xmlns="http://schemas.openxmlformats.org/package/2006/content-types">
  <Override PartName="/xl/ctrlProps/ctrlProp78.xml" ContentType="application/vnd.ms-excel.controlproperties+xml"/>
  <Override PartName="/xl/ctrlProps/ctrlProp49.xml" ContentType="application/vnd.ms-excel.controlproperties+xml"/>
  <Override PartName="/xl/ctrlProps/ctrlProp96.xml" ContentType="application/vnd.ms-excel.controlproperties+xml"/>
  <Override PartName="/xl/styles.xml" ContentType="application/vnd.openxmlformats-officedocument.spreadsheetml.styles+xml"/>
  <Override PartName="/xl/ctrlProps/ctrlProp38.xml" ContentType="application/vnd.ms-excel.controlproperties+xml"/>
  <Override PartName="/xl/ctrlProps/ctrlProp85.xml" ContentType="application/vnd.ms-excel.controlproperties+xml"/>
  <Override PartName="/xl/ctrlProps/ctrlProp67.xml" ContentType="application/vnd.ms-excel.controlproperties+xml"/>
  <Override PartName="/xl/ctrlProps/ctrlProp45.xml" ContentType="application/vnd.ms-excel.controlproperties+xml"/>
  <Override PartName="/xl/ctrlProps/ctrlProp56.xml" ContentType="application/vnd.ms-excel.controlproperties+xml"/>
  <Override PartName="/xl/ctrlProps/ctrlProp92.xml" ContentType="application/vnd.ms-excel.controlproperties+xml"/>
  <Override PartName="/xl/ctrlProps/ctrlProp74.xml" ContentType="application/vnd.ms-excel.controlproperties+xml"/>
  <Override PartName="/xl/ctrlProps/ctrlProp27.xml" ContentType="application/vnd.ms-excel.controlproperties+xml"/>
  <Default Extension="xml" ContentType="application/xml"/>
  <Override PartName="/xl/ctrlProps/ctrlProp52.xml" ContentType="application/vnd.ms-excel.controlproperties+xml"/>
  <Override PartName="/xl/ctrlProps/ctrlProp81.xml" ContentType="application/vnd.ms-excel.controlproperties+xml"/>
  <Override PartName="/xl/ctrlProps/ctrlProp34.xml" ContentType="application/vnd.ms-excel.controlproperties+xml"/>
  <Override PartName="/xl/ctrlProps/ctrlProp63.xml" ContentType="application/vnd.ms-excel.controlproperties+xml"/>
  <Override PartName="/xl/ctrlProps/ctrlProp16.xml" ContentType="application/vnd.ms-excel.controlproperties+xml"/>
  <Override PartName="/xl/ctrlProps/ctrlProp107.xml" ContentType="application/vnd.ms-excel.controlproperties+xml"/>
  <Override PartName="/xl/worksheets/sheet3.xml" ContentType="application/vnd.openxmlformats-officedocument.spreadsheetml.worksheet+xml"/>
  <Override PartName="/xl/ctrlProps/ctrlProp41.xml" ContentType="application/vnd.ms-excel.controlproperties+xml"/>
  <Override PartName="/xl/ctrlProps/ctrlProp70.xml" ContentType="application/vnd.ms-excel.controlproperties+xml"/>
  <Override PartName="/xl/ctrlProps/ctrlProp23.xml" ContentType="application/vnd.ms-excel.controlproperties+xml"/>
  <Override PartName="/docProps/custom.xml" ContentType="application/vnd.openxmlformats-officedocument.custom-properties+xml"/>
  <Override PartName="/xl/ctrlProps/ctrlProp30.xml" ContentType="application/vnd.ms-excel.controlproperties+xml"/>
  <Override PartName="/xl/ctrlProps/ctrlProp12.xml" ContentType="application/vnd.ms-excel.controlproperties+xml"/>
  <Override PartName="/xl/ctrlProps/ctrlProp103.xml" ContentType="application/vnd.ms-excel.controlproperties+xml"/>
  <Override PartName="/xl/ctrlProps/ctrlProp6.xml" ContentType="application/vnd.ms-excel.controlproperties+xml"/>
  <Override PartName="/xl/ctrlProps/ctrlProp114.xml" ContentType="application/vnd.ms-excel.controlproperties+xml"/>
  <Override PartName="/xl/sharedStrings.xml" ContentType="application/vnd.openxmlformats-officedocument.spreadsheetml.sharedStrings+xml"/>
  <Override PartName="/xl/ctrlProps/ctrlProp10.xml" ContentType="application/vnd.ms-excel.controlproperties+xml"/>
  <Override PartName="/xl/ctrlProps/ctrlProp101.xml" ContentType="application/vnd.ms-excel.controlproperties+xml"/>
  <Override PartName="/xl/ctrlProps/ctrlProp4.xml" ContentType="application/vnd.ms-excel.controlproperties+xml"/>
  <Override PartName="/xl/ctrlProps/ctrlProp112.xml" ContentType="application/vnd.ms-excel.controlproperties+xml"/>
  <Override PartName="/xl/ctrlProps/ctrlProp110.xml" ContentType="application/vnd.ms-excel.controlproperties+xml"/>
  <Override PartName="/xl/ctrlProps/ctrlProp99.xml" ContentType="application/vnd.ms-excel.controlproperties+xml"/>
  <Override PartName="/xl/ctrlProps/ctrlProp2.xml" ContentType="application/vnd.ms-excel.controlproperties+xml"/>
  <Default Extension="bin" ContentType="application/vnd.openxmlformats-officedocument.spreadsheetml.printerSettings"/>
  <Override PartName="/xl/ctrlProps/ctrlProp77.xml" ContentType="application/vnd.ms-excel.controlproperties+xml"/>
  <Override PartName="/xl/ctrlProps/ctrlProp88.xml" ContentType="application/vnd.ms-excel.controlproperties+xml"/>
  <Override PartName="/xl/ctrlProps/ctrlProp59.xml" ContentType="application/vnd.ms-excel.controlproperties+xml"/>
  <Override PartName="/xl/ctrlProps/ctrlProp68.xml" ContentType="application/vnd.ms-excel.controlproperties+xml"/>
  <Override PartName="/xl/ctrlProps/ctrlProp79.xml" ContentType="application/vnd.ms-excel.controlproperties+xml"/>
  <Override PartName="/xl/ctrlProps/ctrlProp97.xml" ContentType="application/vnd.ms-excel.controlproperties+xml"/>
  <Override PartName="/xl/ctrlProps/ctrlProp19.xml" ContentType="application/vnd.ms-excel.controlproperties+xml"/>
  <Override PartName="/xl/ctrlProps/ctrlProp66.xml" ContentType="application/vnd.ms-excel.controlproperties+xml"/>
  <Override PartName="/xl/ctrlProps/ctrlProp28.xml" ContentType="application/vnd.ms-excel.controlproperties+xml"/>
  <Override PartName="/xl/ctrlProps/ctrlProp75.xml" ContentType="application/vnd.ms-excel.controlproperties+xml"/>
  <Override PartName="/xl/ctrlProps/ctrlProp57.xml" ContentType="application/vnd.ms-excel.controlproperties+xml"/>
  <Override PartName="/xl/ctrlProps/ctrlProp39.xml" ContentType="application/vnd.ms-excel.controlproperties+xml"/>
  <Override PartName="/xl/ctrlProps/ctrlProp86.xml" ContentType="application/vnd.ms-excel.controlproperties+xml"/>
  <Override PartName="/xl/ctrlProps/ctrlProp48.xml" ContentType="application/vnd.ms-excel.controlproperties+xml"/>
  <Override PartName="/xl/ctrlProps/ctrlProp95.xml" ContentType="application/vnd.ms-excel.controlproperties+xml"/>
  <Override PartName="/xl/ctrlProps/ctrlProp64.xml" ContentType="application/vnd.ms-excel.controlproperties+xml"/>
  <Override PartName="/xl/ctrlProps/ctrlProp93.xml" ContentType="application/vnd.ms-excel.controlproperties+xml"/>
  <Override PartName="/xl/ctrlProps/ctrlProp17.xml" ContentType="application/vnd.ms-excel.controlproperties+xml"/>
  <Override PartName="/xl/ctrlProps/ctrlProp46.xml" ContentType="application/vnd.ms-excel.controlproperties+xml"/>
  <Override PartName="/xl/ctrlProps/ctrlProp73.xml" ContentType="application/vnd.ms-excel.controlproperties+xml"/>
  <Override PartName="/xl/ctrlProps/ctrlProp26.xml" ContentType="application/vnd.ms-excel.controlproperties+xml"/>
  <Override PartName="/xl/ctrlProps/ctrlProp55.xml" ContentType="application/vnd.ms-excel.controlproperties+xml"/>
  <Override PartName="/xl/ctrlProps/ctrlProp84.xml" ContentType="application/vnd.ms-excel.controlproperties+xml"/>
  <Override PartName="/xl/ctrlProps/ctrlProp37.xml" ContentType="application/vnd.ms-excel.controlproperties+xml"/>
  <Override PartName="/xl/workbook.xml" ContentType="application/vnd.openxmlformats-officedocument.spreadsheetml.sheet.main+xml"/>
  <Override PartName="/xl/ctrlProps/ctrlProp24.xml" ContentType="application/vnd.ms-excel.controlproperties+xml"/>
  <Override PartName="/xl/ctrlProps/ctrlProp82.xml" ContentType="application/vnd.ms-excel.controlproperties+xml"/>
  <Override PartName="/xl/ctrlProps/ctrlProp9.xml" ContentType="application/vnd.ms-excel.controlproperties+xml"/>
  <Override PartName="/xl/ctrlProps/ctrlProp35.xml" ContentType="application/vnd.ms-excel.controlproperties+xml"/>
  <Override PartName="/xl/ctrlProps/ctrlProp108.xml" ContentType="application/vnd.ms-excel.controlproperties+xml"/>
  <Override PartName="/xl/ctrlProps/ctrlProp62.xml" ContentType="application/vnd.ms-excel.controlproperties+xml"/>
  <Override PartName="/xl/ctrlProps/ctrlProp91.xml" ContentType="application/vnd.ms-excel.controlproperties+xml"/>
  <Override PartName="/xl/ctrlProps/ctrlProp15.xml" ContentType="application/vnd.ms-excel.controlproperties+xml"/>
  <Override PartName="/xl/ctrlProps/ctrlProp44.xml" ContentType="application/vnd.ms-excel.controlproperties+xml"/>
  <Override PartName="/xl/ctrlProps/ctrlProp71.xml" ContentType="application/vnd.ms-excel.controlproperties+xml"/>
  <Override PartName="/xl/ctrlProps/ctrlProp53.xml" ContentType="application/vnd.ms-excel.control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trlProps/ctrlProp115.xml" ContentType="application/vnd.ms-excel.controlproperties+xml"/>
  <Override PartName="/xl/ctrlProps/ctrlProp51.xml" ContentType="application/vnd.ms-excel.controlproperties+xml"/>
  <Override PartName="/xl/ctrlProps/ctrlProp22.xml" ContentType="application/vnd.ms-excel.controlproperties+xml"/>
  <Override PartName="/xl/ctrlProps/ctrlProp80.xml" ContentType="application/vnd.ms-excel.controlproperties+xml"/>
  <Override PartName="/xl/ctrlProps/ctrlProp33.xml" ContentType="application/vnd.ms-excel.controlproperties+xml"/>
  <Override PartName="/xl/ctrlProps/ctrlProp106.xml" ContentType="application/vnd.ms-excel.controlproperties+xml"/>
  <Override PartName="/xl/ctrlProps/ctrlProp60.xml" ContentType="application/vnd.ms-excel.controlproperties+xml"/>
  <Override PartName="/xl/ctrlProps/ctrlProp13.xml" ContentType="application/vnd.ms-excel.controlproperties+xml"/>
  <Override PartName="/xl/ctrlProps/ctrlProp42.xml" ContentType="application/vnd.ms-excel.controlproperties+xml"/>
  <Override PartName="/xl/ctrlProps/ctrlProp7.xml" ContentType="application/vnd.ms-excel.controlproperties+xml"/>
  <Default Extension="vml" ContentType="application/vnd.openxmlformats-officedocument.vmlDrawing"/>
  <Override PartName="/xl/calcChain.xml" ContentType="application/vnd.openxmlformats-officedocument.spreadsheetml.calcChain+xml"/>
  <Override PartName="/xl/ctrlProps/ctrlProp40.xml" ContentType="application/vnd.ms-excel.controlproperties+xml"/>
  <Override PartName="/xl/ctrlProps/ctrlProp113.xml" ContentType="application/vnd.ms-excel.controlproperties+xml"/>
  <Override PartName="/xl/ctrlProps/ctrlProp20.xml" ContentType="application/vnd.ms-excel.controlproperties+xml"/>
  <Override PartName="/xl/ctrlProps/ctrlProp31.xml" ContentType="application/vnd.ms-excel.controlproperties+xml"/>
  <Override PartName="/xl/ctrlProps/ctrlProp104.xml" ContentType="application/vnd.ms-excel.controlproperties+xml"/>
  <Override PartName="/xl/ctrlProps/ctrlProp11.xml" ContentType="application/vnd.ms-excel.controlproperties+xml"/>
  <Override PartName="/xl/ctrlProps/ctrlProp5.xml" ContentType="application/vnd.ms-excel.controlproperties+xml"/>
  <Override PartName="/xl/ctrlProps/ctrlProp3.xml" ContentType="application/vnd.ms-excel.controlproperties+xml"/>
  <Override PartName="/xl/ctrlProps/ctrlProp111.xml" ContentType="application/vnd.ms-excel.controlproperties+xml"/>
  <Override PartName="/xl/ctrlProps/ctrlProp102.xml" ContentType="application/vnd.ms-excel.controlproperties+xml"/>
  <Override PartName="/xl/ctrlProps/ctrlProp100.xml" ContentType="application/vnd.ms-excel.controlproperties+xml"/>
  <Override PartName="/xl/ctrlProps/ctrlProp98.xml" ContentType="application/vnd.ms-excel.controlproperties+xml"/>
  <Override PartName="/xl/ctrlProps/ctrlProp1.xml" ContentType="application/vnd.ms-excel.controlproperties+xml"/>
  <Override PartName="/xl/ctrlProps/ctrlProp89.xml" ContentType="application/vnd.ms-excel.controlproperties+xml"/>
  <Override PartName="/docProps/core.xml" ContentType="application/vnd.openxmlformats-package.core-properties+xml"/>
  <Override PartName="/xl/ctrlProps/ctrlProp87.xml" ContentType="application/vnd.ms-excel.controlproperties+xml"/>
  <Override PartName="/xl/ctrlProps/ctrlProp69.xml" ContentType="application/vnd.ms-excel.controlproperties+xml"/>
  <Override PartName="/xl/theme/theme1.xml" ContentType="application/vnd.openxmlformats-officedocument.theme+xml"/>
  <Override PartName="/xl/ctrlProps/ctrlProp94.xml" ContentType="application/vnd.ms-excel.controlproperties+xml"/>
  <Override PartName="/xl/ctrlProps/ctrlProp47.xml" ContentType="application/vnd.ms-excel.controlproperties+xml"/>
  <Override PartName="/xl/ctrlProps/ctrlProp29.xml" ContentType="application/vnd.ms-excel.controlproperties+xml"/>
  <Override PartName="/xl/ctrlProps/ctrlProp58.xml" ContentType="application/vnd.ms-excel.controlproperties+xml"/>
  <Override PartName="/xl/ctrlProps/ctrlProp76.xml" ContentType="application/vnd.ms-excel.controlproperties+xml"/>
  <Override PartName="/xl/ctrlProps/ctrlProp83.xml" ContentType="application/vnd.ms-excel.controlproperties+xml"/>
  <Override PartName="/xl/ctrlProps/ctrlProp36.xml" ContentType="application/vnd.ms-excel.controlproperties+xml"/>
  <Override PartName="/xl/ctrlProps/ctrlProp65.xml" ContentType="application/vnd.ms-excel.controlproperties+xml"/>
  <Override PartName="/xl/ctrlProps/ctrlProp18.xml" ContentType="application/vnd.ms-excel.controlproperties+xml"/>
  <Default Extension="rels" ContentType="application/vnd.openxmlformats-package.relationships+xml"/>
  <Override PartName="/xl/ctrlProps/ctrlProp72.xml" ContentType="application/vnd.ms-excel.controlproperties+xml"/>
  <Override PartName="/xl/ctrlProps/ctrlProp43.xml" ContentType="application/vnd.ms-excel.controlproperties+xml"/>
  <Override PartName="/xl/ctrlProps/ctrlProp25.xml" ContentType="application/vnd.ms-excel.controlproperties+xml"/>
  <Override PartName="/xl/ctrlProps/ctrlProp54.xml" ContentType="application/vnd.ms-excel.controlproperties+xml"/>
  <Override PartName="/xl/ctrlProps/ctrlProp109.xml" ContentType="application/vnd.ms-excel.controlproperties+xml"/>
  <Override PartName="/xl/ctrlProps/ctrlProp90.xml" ContentType="application/vnd.ms-excel.controlproperties+xml"/>
  <Override PartName="/xl/ctrlProps/ctrlProp61.xml" ContentType="application/vnd.ms-excel.controlproperties+xml"/>
  <Override PartName="/xl/ctrlProps/ctrlProp14.xml" ContentType="application/vnd.ms-excel.controlproperties+xml"/>
  <Override PartName="/xl/ctrlProps/ctrlProp105.xml" ContentType="application/vnd.ms-excel.controlproperties+xml"/>
  <Override PartName="/xl/ctrlProps/ctrlProp116.xml" ContentType="application/vnd.ms-excel.controlproperties+xml"/>
  <Override PartName="/xl/ctrlProps/ctrlProp8.xml" ContentType="application/vnd.ms-excel.controlproperties+xml"/>
  <Override PartName="/xl/ctrlProps/ctrlProp50.xml" ContentType="application/vnd.ms-excel.controlproperties+xml"/>
  <Override PartName="/xl/ctrlProps/ctrlProp32.xml" ContentType="application/vnd.ms-excel.controlproperties+xml"/>
  <Override PartName="/xl/worksheets/sheet1.xml" ContentType="application/vnd.openxmlformats-officedocument.spreadsheetml.worksheet+xml"/>
  <Override PartName="/xl/ctrlProps/ctrlProp21.xml" ContentType="application/vnd.ms-excel.contro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684" yWindow="756" windowWidth="23256" windowHeight="13176"/>
  </bookViews>
  <sheets>
    <sheet name="Калькулятор ФФ" sheetId="6" r:id="rId1"/>
    <sheet name="Тарифы ФФ" sheetId="5" r:id="rId2"/>
    <sheet name="Служебная" sheetId="7" state="hidden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12" i="6"/>
  <c r="Q113"/>
  <c r="Q114"/>
  <c r="Q115"/>
  <c r="Q116"/>
  <c r="Q117"/>
  <c r="Q118"/>
  <c r="Q119"/>
  <c r="Q120"/>
  <c r="Q111"/>
  <c r="R96"/>
  <c r="Q79"/>
  <c r="Q80"/>
  <c r="Q81"/>
  <c r="Q82"/>
  <c r="Q83"/>
  <c r="Q84"/>
  <c r="Q85"/>
  <c r="Q86"/>
  <c r="Q87"/>
  <c r="Q78"/>
  <c r="Q68"/>
  <c r="Z30"/>
  <c r="W30"/>
  <c r="T30"/>
  <c r="Q30"/>
  <c r="AR22" l="1"/>
  <c r="AR23"/>
  <c r="AR24"/>
  <c r="AR25"/>
  <c r="AR26"/>
  <c r="AR27"/>
  <c r="AR28"/>
  <c r="AR29"/>
  <c r="AR30"/>
  <c r="AR21"/>
  <c r="T112"/>
  <c r="U112" s="1"/>
  <c r="T113"/>
  <c r="U113" s="1"/>
  <c r="T114"/>
  <c r="U114" s="1"/>
  <c r="T115"/>
  <c r="U115" s="1"/>
  <c r="T116"/>
  <c r="U116" s="1"/>
  <c r="T117"/>
  <c r="U117" s="1"/>
  <c r="T111"/>
  <c r="U111" s="1"/>
  <c r="H121"/>
  <c r="M112" s="1"/>
  <c r="Q96"/>
  <c r="T96" s="1"/>
  <c r="Q102" s="1"/>
  <c r="R115" l="1"/>
  <c r="T97"/>
  <c r="I164" s="1"/>
  <c r="R114"/>
  <c r="R112"/>
  <c r="R113"/>
  <c r="R117"/>
  <c r="R116"/>
  <c r="AB79" l="1"/>
  <c r="AB80"/>
  <c r="AB81"/>
  <c r="AB82"/>
  <c r="AB83"/>
  <c r="AB84"/>
  <c r="AB85"/>
  <c r="AB86"/>
  <c r="AB87"/>
  <c r="AB78"/>
  <c r="H88"/>
  <c r="M79" s="1"/>
  <c r="AE86" s="1"/>
  <c r="AI59"/>
  <c r="AE85" l="1"/>
  <c r="AE84"/>
  <c r="AE83"/>
  <c r="AE82"/>
  <c r="AE81"/>
  <c r="AE78"/>
  <c r="AE80"/>
  <c r="AE87"/>
  <c r="AE79"/>
  <c r="AI65"/>
  <c r="AB60"/>
  <c r="AB61"/>
  <c r="AB62"/>
  <c r="AB63"/>
  <c r="AB64"/>
  <c r="AB65"/>
  <c r="AB66"/>
  <c r="AB67"/>
  <c r="AB68"/>
  <c r="AB59"/>
  <c r="H69"/>
  <c r="M60" s="1"/>
  <c r="D45"/>
  <c r="D64" s="1"/>
  <c r="E45"/>
  <c r="E64" s="1"/>
  <c r="F45"/>
  <c r="F64" s="1"/>
  <c r="G45"/>
  <c r="G64" s="1"/>
  <c r="D46"/>
  <c r="D65" s="1"/>
  <c r="E46"/>
  <c r="E65" s="1"/>
  <c r="F46"/>
  <c r="F65" s="1"/>
  <c r="G46"/>
  <c r="G65" s="1"/>
  <c r="D41"/>
  <c r="D60" s="1"/>
  <c r="E41"/>
  <c r="E60" s="1"/>
  <c r="F41"/>
  <c r="F60" s="1"/>
  <c r="G41"/>
  <c r="G60" s="1"/>
  <c r="H41"/>
  <c r="D42"/>
  <c r="D61" s="1"/>
  <c r="E42"/>
  <c r="E61" s="1"/>
  <c r="F42"/>
  <c r="F61" s="1"/>
  <c r="G42"/>
  <c r="G61" s="1"/>
  <c r="H42"/>
  <c r="D43"/>
  <c r="D62" s="1"/>
  <c r="E43"/>
  <c r="E62" s="1"/>
  <c r="F43"/>
  <c r="F62" s="1"/>
  <c r="G43"/>
  <c r="G62" s="1"/>
  <c r="H43"/>
  <c r="D44"/>
  <c r="D63" s="1"/>
  <c r="E44"/>
  <c r="E63" s="1"/>
  <c r="F44"/>
  <c r="F63" s="1"/>
  <c r="G44"/>
  <c r="G63" s="1"/>
  <c r="H44"/>
  <c r="H45"/>
  <c r="H46"/>
  <c r="D47"/>
  <c r="D66" s="1"/>
  <c r="E47"/>
  <c r="E66" s="1"/>
  <c r="F47"/>
  <c r="F66" s="1"/>
  <c r="G47"/>
  <c r="G66" s="1"/>
  <c r="H47"/>
  <c r="D48"/>
  <c r="D67" s="1"/>
  <c r="E48"/>
  <c r="E67" s="1"/>
  <c r="F48"/>
  <c r="F67" s="1"/>
  <c r="G48"/>
  <c r="G67" s="1"/>
  <c r="H48"/>
  <c r="D49"/>
  <c r="D68" s="1"/>
  <c r="E49"/>
  <c r="E68" s="1"/>
  <c r="F49"/>
  <c r="F68" s="1"/>
  <c r="G49"/>
  <c r="G68" s="1"/>
  <c r="H49"/>
  <c r="L49" s="1"/>
  <c r="E40"/>
  <c r="E59" s="1"/>
  <c r="F40"/>
  <c r="F59" s="1"/>
  <c r="G40"/>
  <c r="G59" s="1"/>
  <c r="H40"/>
  <c r="D40"/>
  <c r="D59" s="1"/>
  <c r="AP21"/>
  <c r="AQ21" s="1"/>
  <c r="Q11"/>
  <c r="R11" s="1"/>
  <c r="H31"/>
  <c r="AP30"/>
  <c r="AQ30" s="1"/>
  <c r="AP29"/>
  <c r="AQ29" s="1"/>
  <c r="AP28"/>
  <c r="AQ28" s="1"/>
  <c r="AP27"/>
  <c r="AQ27" s="1"/>
  <c r="AP26"/>
  <c r="AQ26" s="1"/>
  <c r="AP25"/>
  <c r="AQ25" s="1"/>
  <c r="AP24"/>
  <c r="AQ24" s="1"/>
  <c r="AP23"/>
  <c r="AQ23" s="1"/>
  <c r="AP22"/>
  <c r="AQ22" s="1"/>
  <c r="Q12"/>
  <c r="R10"/>
  <c r="Q10"/>
  <c r="C10"/>
  <c r="H9"/>
  <c r="Q7"/>
  <c r="AE59" l="1"/>
  <c r="AE60"/>
  <c r="L46"/>
  <c r="L45"/>
  <c r="L42"/>
  <c r="I44"/>
  <c r="I46"/>
  <c r="I45"/>
  <c r="I42"/>
  <c r="R12"/>
  <c r="I128" s="1"/>
  <c r="I129" s="1"/>
  <c r="E86"/>
  <c r="E119" s="1"/>
  <c r="F81"/>
  <c r="F114" s="1"/>
  <c r="F83"/>
  <c r="F116" s="1"/>
  <c r="D81"/>
  <c r="D114" s="1"/>
  <c r="D83"/>
  <c r="D116" s="1"/>
  <c r="E87"/>
  <c r="E120" s="1"/>
  <c r="F82"/>
  <c r="F115" s="1"/>
  <c r="G84"/>
  <c r="G117" s="1"/>
  <c r="E81"/>
  <c r="E114" s="1"/>
  <c r="E83"/>
  <c r="E116" s="1"/>
  <c r="D87"/>
  <c r="D120" s="1"/>
  <c r="F85"/>
  <c r="F118" s="1"/>
  <c r="E82"/>
  <c r="E115" s="1"/>
  <c r="G80"/>
  <c r="G113" s="1"/>
  <c r="D79"/>
  <c r="D112" s="1"/>
  <c r="F84"/>
  <c r="F117" s="1"/>
  <c r="D86"/>
  <c r="D119" s="1"/>
  <c r="F79"/>
  <c r="F112" s="1"/>
  <c r="G85"/>
  <c r="G118" s="1"/>
  <c r="E85"/>
  <c r="E118" s="1"/>
  <c r="E84"/>
  <c r="E117" s="1"/>
  <c r="G82"/>
  <c r="G115" s="1"/>
  <c r="E79"/>
  <c r="E112" s="1"/>
  <c r="F80"/>
  <c r="F113" s="1"/>
  <c r="F78"/>
  <c r="F111" s="1"/>
  <c r="G86"/>
  <c r="G119" s="1"/>
  <c r="E80"/>
  <c r="E113" s="1"/>
  <c r="D84"/>
  <c r="D117" s="1"/>
  <c r="G87"/>
  <c r="G120" s="1"/>
  <c r="G79"/>
  <c r="G112" s="1"/>
  <c r="F87"/>
  <c r="F120" s="1"/>
  <c r="D78"/>
  <c r="D111" s="1"/>
  <c r="G78"/>
  <c r="G111" s="1"/>
  <c r="D82"/>
  <c r="D115" s="1"/>
  <c r="D85"/>
  <c r="D118" s="1"/>
  <c r="E78"/>
  <c r="E111" s="1"/>
  <c r="F86"/>
  <c r="F119" s="1"/>
  <c r="G81"/>
  <c r="G114" s="1"/>
  <c r="D80"/>
  <c r="D113" s="1"/>
  <c r="G83"/>
  <c r="G116" s="1"/>
  <c r="AK59"/>
  <c r="AK65"/>
  <c r="I49"/>
  <c r="I48"/>
  <c r="I47"/>
  <c r="I41"/>
  <c r="I40"/>
  <c r="I43"/>
  <c r="H50"/>
  <c r="AS27"/>
  <c r="B65" s="1"/>
  <c r="AS29"/>
  <c r="B67" s="1"/>
  <c r="AS25"/>
  <c r="B63" s="1"/>
  <c r="AS23"/>
  <c r="B61" s="1"/>
  <c r="AS21"/>
  <c r="B59" s="1"/>
  <c r="AG60" s="1"/>
  <c r="AS22"/>
  <c r="B60" s="1"/>
  <c r="AS24"/>
  <c r="B62" s="1"/>
  <c r="AS26"/>
  <c r="B64" s="1"/>
  <c r="AS28"/>
  <c r="B66" s="1"/>
  <c r="AS30"/>
  <c r="B68" s="1"/>
  <c r="Q60" l="1"/>
  <c r="Q22"/>
  <c r="R22" s="1"/>
  <c r="Z22"/>
  <c r="AA22" s="1"/>
  <c r="W22"/>
  <c r="X22" s="1"/>
  <c r="T22"/>
  <c r="U22" s="1"/>
  <c r="Q62"/>
  <c r="W24"/>
  <c r="X24" s="1"/>
  <c r="T24"/>
  <c r="U24" s="1"/>
  <c r="Q24"/>
  <c r="R24" s="1"/>
  <c r="Z24"/>
  <c r="AA24" s="1"/>
  <c r="L41"/>
  <c r="Q41" s="1"/>
  <c r="Z25"/>
  <c r="AA25" s="1"/>
  <c r="W25"/>
  <c r="X25" s="1"/>
  <c r="Q63"/>
  <c r="Q25"/>
  <c r="R25" s="1"/>
  <c r="T25"/>
  <c r="U25" s="1"/>
  <c r="W21"/>
  <c r="X21" s="1"/>
  <c r="T21"/>
  <c r="U21" s="1"/>
  <c r="Q59"/>
  <c r="Q21"/>
  <c r="R21" s="1"/>
  <c r="Z21"/>
  <c r="AA21" s="1"/>
  <c r="W23"/>
  <c r="X23" s="1"/>
  <c r="Q61"/>
  <c r="Q23"/>
  <c r="R23" s="1"/>
  <c r="Z23"/>
  <c r="AA23" s="1"/>
  <c r="T23"/>
  <c r="U23" s="1"/>
  <c r="L44"/>
  <c r="AF60"/>
  <c r="T29"/>
  <c r="U29" s="1"/>
  <c r="Z29"/>
  <c r="AA29" s="1"/>
  <c r="W29"/>
  <c r="X29" s="1"/>
  <c r="Q67"/>
  <c r="Q29"/>
  <c r="Q66"/>
  <c r="Q28"/>
  <c r="R28" s="1"/>
  <c r="Z28"/>
  <c r="AA28" s="1"/>
  <c r="T28"/>
  <c r="U28" s="1"/>
  <c r="W28"/>
  <c r="X28" s="1"/>
  <c r="Q27"/>
  <c r="R27" s="1"/>
  <c r="W27"/>
  <c r="X27" s="1"/>
  <c r="Z27"/>
  <c r="AA27" s="1"/>
  <c r="T27"/>
  <c r="U27" s="1"/>
  <c r="Q65"/>
  <c r="L43"/>
  <c r="Q43" s="1"/>
  <c r="L40"/>
  <c r="W26"/>
  <c r="X26" s="1"/>
  <c r="Q26"/>
  <c r="R26" s="1"/>
  <c r="Z26"/>
  <c r="AA26" s="1"/>
  <c r="T26"/>
  <c r="U26" s="1"/>
  <c r="Q64"/>
  <c r="L48"/>
  <c r="Q48" s="1"/>
  <c r="R48" s="1"/>
  <c r="I165" s="1"/>
  <c r="L47"/>
  <c r="X30"/>
  <c r="R30"/>
  <c r="U30"/>
  <c r="AA30"/>
  <c r="R29"/>
  <c r="R111"/>
  <c r="K49"/>
  <c r="T49"/>
  <c r="U49" s="1"/>
  <c r="Q46"/>
  <c r="Q45"/>
  <c r="Q44" l="1"/>
  <c r="R44" s="1"/>
  <c r="K42"/>
  <c r="Q42"/>
  <c r="R42" s="1"/>
  <c r="Q40"/>
  <c r="R40" s="1"/>
  <c r="AF84"/>
  <c r="AG84" s="1"/>
  <c r="AH84" s="1"/>
  <c r="W84"/>
  <c r="X84" s="1"/>
  <c r="T84"/>
  <c r="U84" s="1"/>
  <c r="Z84"/>
  <c r="AA84" s="1"/>
  <c r="AC82"/>
  <c r="AD82" s="1"/>
  <c r="T82"/>
  <c r="U82" s="1"/>
  <c r="Z82"/>
  <c r="AA82" s="1"/>
  <c r="W82"/>
  <c r="X82" s="1"/>
  <c r="AF78"/>
  <c r="AG78" s="1"/>
  <c r="AH78" s="1"/>
  <c r="T78"/>
  <c r="U78" s="1"/>
  <c r="Z78"/>
  <c r="AA78" s="1"/>
  <c r="W78"/>
  <c r="X78" s="1"/>
  <c r="AC80"/>
  <c r="AD80" s="1"/>
  <c r="Z80"/>
  <c r="AA80" s="1"/>
  <c r="W80"/>
  <c r="X80" s="1"/>
  <c r="T80"/>
  <c r="U80" s="1"/>
  <c r="AF79"/>
  <c r="AG79" s="1"/>
  <c r="AH79" s="1"/>
  <c r="Z79"/>
  <c r="AA79" s="1"/>
  <c r="W79"/>
  <c r="X79" s="1"/>
  <c r="T79"/>
  <c r="U79" s="1"/>
  <c r="AF81"/>
  <c r="AG81" s="1"/>
  <c r="AH81" s="1"/>
  <c r="W81"/>
  <c r="X81" s="1"/>
  <c r="T81"/>
  <c r="U81" s="1"/>
  <c r="Z81"/>
  <c r="AA81" s="1"/>
  <c r="AF83"/>
  <c r="AG83" s="1"/>
  <c r="AH83" s="1"/>
  <c r="T83"/>
  <c r="U83" s="1"/>
  <c r="Z83"/>
  <c r="AA83" s="1"/>
  <c r="W83"/>
  <c r="X83" s="1"/>
  <c r="R63"/>
  <c r="Z63"/>
  <c r="AA63" s="1"/>
  <c r="T63"/>
  <c r="U63" s="1"/>
  <c r="W63"/>
  <c r="X63" s="1"/>
  <c r="R65"/>
  <c r="Z65"/>
  <c r="AA65" s="1"/>
  <c r="T65"/>
  <c r="U65" s="1"/>
  <c r="W65"/>
  <c r="X65" s="1"/>
  <c r="R62"/>
  <c r="T62"/>
  <c r="U62" s="1"/>
  <c r="Z62"/>
  <c r="AA62" s="1"/>
  <c r="W62"/>
  <c r="X62" s="1"/>
  <c r="R64"/>
  <c r="Z64"/>
  <c r="AA64" s="1"/>
  <c r="W64"/>
  <c r="X64" s="1"/>
  <c r="T64"/>
  <c r="U64" s="1"/>
  <c r="AF59"/>
  <c r="AG59" s="1"/>
  <c r="W59"/>
  <c r="X59" s="1"/>
  <c r="T60"/>
  <c r="U60" s="1"/>
  <c r="W60"/>
  <c r="X60" s="1"/>
  <c r="Z60"/>
  <c r="AA60" s="1"/>
  <c r="T59"/>
  <c r="U59" s="1"/>
  <c r="R61"/>
  <c r="T61"/>
  <c r="U61" s="1"/>
  <c r="W61"/>
  <c r="X61" s="1"/>
  <c r="Z61"/>
  <c r="AA61" s="1"/>
  <c r="R119"/>
  <c r="T119"/>
  <c r="U119" s="1"/>
  <c r="T48"/>
  <c r="U48" s="1"/>
  <c r="K48"/>
  <c r="AC86"/>
  <c r="AD86" s="1"/>
  <c r="T86"/>
  <c r="U86" s="1"/>
  <c r="Z86"/>
  <c r="AA86" s="1"/>
  <c r="R67"/>
  <c r="Z67"/>
  <c r="AA67" s="1"/>
  <c r="W67"/>
  <c r="X67" s="1"/>
  <c r="T67"/>
  <c r="U67" s="1"/>
  <c r="R120"/>
  <c r="T120"/>
  <c r="U120" s="1"/>
  <c r="AC87"/>
  <c r="AD87" s="1"/>
  <c r="T87"/>
  <c r="U87" s="1"/>
  <c r="Z87"/>
  <c r="AA87" s="1"/>
  <c r="R68"/>
  <c r="Z68"/>
  <c r="AA68" s="1"/>
  <c r="W68"/>
  <c r="X68" s="1"/>
  <c r="T68"/>
  <c r="U68" s="1"/>
  <c r="Q49"/>
  <c r="R49" s="1"/>
  <c r="AC85"/>
  <c r="AD85" s="1"/>
  <c r="T85"/>
  <c r="U85" s="1"/>
  <c r="Z85"/>
  <c r="AA85" s="1"/>
  <c r="W85"/>
  <c r="X85" s="1"/>
  <c r="T47"/>
  <c r="U47" s="1"/>
  <c r="K47"/>
  <c r="R118"/>
  <c r="T118"/>
  <c r="U118" s="1"/>
  <c r="R66"/>
  <c r="Z66"/>
  <c r="AA66" s="1"/>
  <c r="W66"/>
  <c r="X66" s="1"/>
  <c r="T66"/>
  <c r="U66" s="1"/>
  <c r="Q47"/>
  <c r="R47" s="1"/>
  <c r="R84"/>
  <c r="AC84"/>
  <c r="AD84" s="1"/>
  <c r="R79"/>
  <c r="AC79"/>
  <c r="AD79" s="1"/>
  <c r="R78"/>
  <c r="AC78"/>
  <c r="AD78" s="1"/>
  <c r="T42"/>
  <c r="U42" s="1"/>
  <c r="R83"/>
  <c r="AC83"/>
  <c r="AD83" s="1"/>
  <c r="R81"/>
  <c r="AC81"/>
  <c r="AD81" s="1"/>
  <c r="R82"/>
  <c r="AF82"/>
  <c r="AG82" s="1"/>
  <c r="AH82" s="1"/>
  <c r="T44"/>
  <c r="U44" s="1"/>
  <c r="K44"/>
  <c r="W86"/>
  <c r="X86" s="1"/>
  <c r="AF86"/>
  <c r="AG86" s="1"/>
  <c r="AH86" s="1"/>
  <c r="R86"/>
  <c r="R80"/>
  <c r="AF80"/>
  <c r="AG80" s="1"/>
  <c r="AH80" s="1"/>
  <c r="W87"/>
  <c r="X87" s="1"/>
  <c r="R87"/>
  <c r="AF87"/>
  <c r="R85"/>
  <c r="AF85"/>
  <c r="AG85" s="1"/>
  <c r="AH85" s="1"/>
  <c r="AJ59"/>
  <c r="AL59" s="1"/>
  <c r="AL60" s="1"/>
  <c r="I151" s="1"/>
  <c r="AJ65"/>
  <c r="AL65" s="1"/>
  <c r="AL66" s="1"/>
  <c r="I150" s="1"/>
  <c r="Z59"/>
  <c r="AA59" s="1"/>
  <c r="AC59"/>
  <c r="AD59" s="1"/>
  <c r="R60"/>
  <c r="AC60"/>
  <c r="AD60" s="1"/>
  <c r="AC61"/>
  <c r="AD61" s="1"/>
  <c r="AC62"/>
  <c r="AD62" s="1"/>
  <c r="T41"/>
  <c r="U41" s="1"/>
  <c r="K41"/>
  <c r="R41"/>
  <c r="T43"/>
  <c r="U43" s="1"/>
  <c r="K43"/>
  <c r="R43"/>
  <c r="R59"/>
  <c r="T45"/>
  <c r="U45" s="1"/>
  <c r="R45"/>
  <c r="T40"/>
  <c r="U40" s="1"/>
  <c r="K40"/>
  <c r="T46"/>
  <c r="U46" s="1"/>
  <c r="R46"/>
  <c r="K45"/>
  <c r="K46"/>
  <c r="AA31"/>
  <c r="I135" s="1"/>
  <c r="X31"/>
  <c r="I134" s="1"/>
  <c r="R31"/>
  <c r="I132" s="1"/>
  <c r="U31"/>
  <c r="I133" s="1"/>
  <c r="AG87" l="1"/>
  <c r="AH87" s="1"/>
  <c r="AH88" s="1"/>
  <c r="I160" s="1"/>
  <c r="AH59"/>
  <c r="AH60"/>
  <c r="R121"/>
  <c r="I168" s="1"/>
  <c r="U88"/>
  <c r="I156" s="1"/>
  <c r="U121"/>
  <c r="I169" s="1"/>
  <c r="X69"/>
  <c r="I146" s="1"/>
  <c r="AA69"/>
  <c r="I147" s="1"/>
  <c r="AA88"/>
  <c r="I158" s="1"/>
  <c r="U69"/>
  <c r="I145" s="1"/>
  <c r="I136"/>
  <c r="AD88"/>
  <c r="I159" s="1"/>
  <c r="R88"/>
  <c r="I155" s="1"/>
  <c r="X88"/>
  <c r="I157" s="1"/>
  <c r="R69"/>
  <c r="I144" s="1"/>
  <c r="AC63"/>
  <c r="AD63" s="1"/>
  <c r="U50"/>
  <c r="I140" s="1"/>
  <c r="R50"/>
  <c r="I139" s="1"/>
  <c r="K38"/>
  <c r="L37" s="1"/>
  <c r="AH61" l="1"/>
  <c r="I149" s="1"/>
  <c r="I170"/>
  <c r="I161"/>
  <c r="I141"/>
  <c r="AC64"/>
  <c r="AD64" s="1"/>
  <c r="AC65" l="1"/>
  <c r="AD65" s="1"/>
  <c r="AC66" l="1"/>
  <c r="AD66" s="1"/>
  <c r="AC68" l="1"/>
  <c r="AD68" s="1"/>
  <c r="AC67"/>
  <c r="AD67" s="1"/>
  <c r="AD69" l="1"/>
  <c r="I148" s="1"/>
  <c r="I152" s="1"/>
  <c r="H172" s="1"/>
  <c r="H174" s="1"/>
</calcChain>
</file>

<file path=xl/sharedStrings.xml><?xml version="1.0" encoding="utf-8"?>
<sst xmlns="http://schemas.openxmlformats.org/spreadsheetml/2006/main" count="529" uniqueCount="191">
  <si>
    <t>Формирование паллет</t>
  </si>
  <si>
    <t>Формирование паллет (упаковка на паллеты, запаллечивание)</t>
  </si>
  <si>
    <t>паллет</t>
  </si>
  <si>
    <t>Операция</t>
  </si>
  <si>
    <t>Приемка</t>
  </si>
  <si>
    <t>Приём поставки моно-коробами по маркировке на коробе без внутритарного пересчета и размещение на склад</t>
  </si>
  <si>
    <t>короб</t>
  </si>
  <si>
    <t>Идентификация товара, при необходимости с запросом Заказчику (Товары без шк, нечитаемым шк, при необходимости фотографирование товара, обработка ответа Заказчика, заведение в систему, инициация печати шк)</t>
  </si>
  <si>
    <t>Отгрузка</t>
  </si>
  <si>
    <t>Подбор заказа поштучно, вложение в отправление</t>
  </si>
  <si>
    <t>Отгрузка заказа на маркетплейс (дополнительная обработка заказа согласно правилам маркетплейса, доставка до пункта приема маркетплейса)</t>
  </si>
  <si>
    <t>Хранение</t>
  </si>
  <si>
    <t>Хранение товара в зоне штучного товара</t>
  </si>
  <si>
    <t>Хранение товара паллетами (монопаллеты)</t>
  </si>
  <si>
    <t>Визуальная проверка товара на качество (механические повреждения, загрязнения, состояние фурнитуры)</t>
  </si>
  <si>
    <t>Сканирование уникальных кодов товара</t>
  </si>
  <si>
    <t>Самовывоз со склада</t>
  </si>
  <si>
    <t>Товар 1</t>
  </si>
  <si>
    <t>Товар 2</t>
  </si>
  <si>
    <t>Товар 3</t>
  </si>
  <si>
    <t>Длина товара, см</t>
  </si>
  <si>
    <t>Ширина товара, см</t>
  </si>
  <si>
    <t>Высота товара, см</t>
  </si>
  <si>
    <t>Работы по дополнительной упаковке товара
(переупакова, ВВП, термоусадочная пленка, короб)</t>
  </si>
  <si>
    <t>Штрихкодирование товара
(изготовление стикера, оклейка)</t>
  </si>
  <si>
    <t>Ед. изм</t>
  </si>
  <si>
    <t>шт товара</t>
  </si>
  <si>
    <t>Не учитываются/Не предусмотрено</t>
  </si>
  <si>
    <t>Стоимость расходных материалов</t>
  </si>
  <si>
    <t>грузовое место</t>
  </si>
  <si>
    <t>Тариф</t>
  </si>
  <si>
    <t>Тарифы на складскую обработку</t>
  </si>
  <si>
    <t>паллет/сутки</t>
  </si>
  <si>
    <t>Тариф, руб.</t>
  </si>
  <si>
    <t>Предельные габариты товара, см</t>
  </si>
  <si>
    <t>Предельный вес товара, кг</t>
  </si>
  <si>
    <t>№ тарифа по габаритам</t>
  </si>
  <si>
    <t>№ тарифа по весу</t>
  </si>
  <si>
    <t>№ тарифа 
по габаритам</t>
  </si>
  <si>
    <t>№ тарифа 
по весу</t>
  </si>
  <si>
    <t>Сумма габаритов</t>
  </si>
  <si>
    <t>Ручная выгрузка при поставке валом</t>
  </si>
  <si>
    <t>Выберите параметры поставляемого на склад груза</t>
  </si>
  <si>
    <t>Вес товара, 
кг</t>
  </si>
  <si>
    <t>Кол-во товара, 
шт</t>
  </si>
  <si>
    <t>Стоимость , руб.</t>
  </si>
  <si>
    <t>Расчетный тариф по услугам обработки</t>
  </si>
  <si>
    <t>Расчетный тариф по расходным материалам</t>
  </si>
  <si>
    <t>Стикерование товара</t>
  </si>
  <si>
    <t>Стоимость услуг приемки</t>
  </si>
  <si>
    <t>Товар 4</t>
  </si>
  <si>
    <t>Товар 5</t>
  </si>
  <si>
    <t>Товар 6</t>
  </si>
  <si>
    <t>Товар 7</t>
  </si>
  <si>
    <t>Товар 8</t>
  </si>
  <si>
    <t>Товар 9</t>
  </si>
  <si>
    <t>Товар 10</t>
  </si>
  <si>
    <t>Условный товар</t>
  </si>
  <si>
    <t>Дополнительная упаковка</t>
  </si>
  <si>
    <t>Упаковочные материалы</t>
  </si>
  <si>
    <t>-</t>
  </si>
  <si>
    <t>Итого:</t>
  </si>
  <si>
    <t>Приемка товара</t>
  </si>
  <si>
    <t>Поштучный прием:
 приём поставки сканированием ШК и размещение на склад (поштучный пересчет, визуальный осмотр, проведение по системе, размещение на склад)</t>
  </si>
  <si>
    <t>Сдача на Почту России (e-mail информирование, претензионная работа, предпочтовая подготовка)</t>
  </si>
  <si>
    <t>заказ</t>
  </si>
  <si>
    <t>Подготовка заказа для отгрузки на экспорт (через Почту России)</t>
  </si>
  <si>
    <t>Обработка возвратов</t>
  </si>
  <si>
    <t>Приёмка возвращенных отправлений</t>
  </si>
  <si>
    <t>Формирование набора/комплекта из товаров, разукомплектация набора</t>
  </si>
  <si>
    <t>Дополнительные услуги</t>
  </si>
  <si>
    <t>Калькулятор ФФ</t>
  </si>
  <si>
    <t>Комплектация и упаковка. Формирование грузового места: упаковка товара в короб/пакет/стрейч-пленку и отгрузка со склада (печать инвойса, упаковка оптимальным способом, взвешивание и снятие габаритов)</t>
  </si>
  <si>
    <t>Забор возврата с маркетплейса</t>
  </si>
  <si>
    <t>шт товара/сутки</t>
  </si>
  <si>
    <t>Раздел</t>
  </si>
  <si>
    <t>Расходные материалы</t>
  </si>
  <si>
    <t>Предварительная приемка товара на складе</t>
  </si>
  <si>
    <t>Стоимость услуг выгрузки</t>
  </si>
  <si>
    <t>Укажите габариты и вес поставляемого на склад товара и выберите дополнительные параметры обработки при приемке</t>
  </si>
  <si>
    <t>Тип приемки</t>
  </si>
  <si>
    <t>Штучная приемка</t>
  </si>
  <si>
    <t>Приемка моно-коробами</t>
  </si>
  <si>
    <t>Визуальная проверка</t>
  </si>
  <si>
    <t>Идентификация товара</t>
  </si>
  <si>
    <t>Основные услуги по приемке</t>
  </si>
  <si>
    <t>Кол-во 
моно-коробов</t>
  </si>
  <si>
    <t>Хранение товара</t>
  </si>
  <si>
    <t>Тип хранения</t>
  </si>
  <si>
    <t>Кол-во 
паллет</t>
  </si>
  <si>
    <t>Стоимость услуг хранения</t>
  </si>
  <si>
    <t>Штучное хранение</t>
  </si>
  <si>
    <t>Паллетное хранение</t>
  </si>
  <si>
    <t>Тариф, руб./сутки</t>
  </si>
  <si>
    <t>Кол-во дней , шт</t>
  </si>
  <si>
    <t>К отгрузке, 
шт товара</t>
  </si>
  <si>
    <t>Укажите дополнительные параметры отгрузки</t>
  </si>
  <si>
    <t xml:space="preserve">Среднее кол-во вложений товара в заказ: </t>
  </si>
  <si>
    <t>Укажите основные параметры для расчета примерной стоимости услуг по подготовке заказов к отгрузке</t>
  </si>
  <si>
    <t>Подбор товара под заказы</t>
  </si>
  <si>
    <t>Комплектация и упаковка</t>
  </si>
  <si>
    <t>Кол-во</t>
  </si>
  <si>
    <t xml:space="preserve">Итого заказов к отгрузке: </t>
  </si>
  <si>
    <t>Укажите параметры формирования заказов</t>
  </si>
  <si>
    <t>Укажите кол-во дней хранения для расчета примерной стоимости хранения принятого товара</t>
  </si>
  <si>
    <t>Сканирование КИЗ</t>
  </si>
  <si>
    <t>формирование грузовых мест</t>
  </si>
  <si>
    <t xml:space="preserve">Кол-во грузовых мест (паллеты): </t>
  </si>
  <si>
    <t xml:space="preserve">Кол-во грузовых мест (короба): </t>
  </si>
  <si>
    <t xml:space="preserve">     * Не указывается при отгрузке в сторонние службы доставки</t>
  </si>
  <si>
    <t>Параметры грузовых мест для заказа  FBO/самовывоза *</t>
  </si>
  <si>
    <t>Отгрузка заказов (сторонняя служба доставки | FBO заказы | самовывоз)</t>
  </si>
  <si>
    <t>Отгрузка заказов (FBS заказы)</t>
  </si>
  <si>
    <t>Стоимость услуг обработки (сторонняя служба доставки | FBO заказы | самовывоз)</t>
  </si>
  <si>
    <t>Стоимость услуг обработки (FBS заказы)</t>
  </si>
  <si>
    <t>Отгрузка на маркетплейс</t>
  </si>
  <si>
    <t>Обработка по правилам маркетплейса</t>
  </si>
  <si>
    <t>Укажите параметры формирования заказов *</t>
  </si>
  <si>
    <t xml:space="preserve">     * Для маркетплейса Wildberries всегда указывается  "1"</t>
  </si>
  <si>
    <t>Услуга</t>
  </si>
  <si>
    <t>Адрес доставки</t>
  </si>
  <si>
    <t>№ тарифа</t>
  </si>
  <si>
    <t>Доставка на склад маркетплейса</t>
  </si>
  <si>
    <t>OZON - СЦ Львовский - г. Подольск, промышленная зона Львовский, ул. Московская, д. 69, стр. 5</t>
  </si>
  <si>
    <t>OZON - СЦ Щербинка -  г. Подольск, д. Борисовка, промышленная зона ПромТехАльянс, д. 1, стр. 2</t>
  </si>
  <si>
    <t>WILDBERRIES - Коледино - МО, Подольский район, деревня Коледино, Троицкая улица, 20.</t>
  </si>
  <si>
    <t>WILDBERRIES - Электросталь - Электросталь, пос Случайный, д. 5</t>
  </si>
  <si>
    <t>WILDBERRIES - Подольск- Подольск, Поливановская улица, 9</t>
  </si>
  <si>
    <t>WILDBERRIES - Чехов 2, Новоселки, вл. 11, стр. 7</t>
  </si>
  <si>
    <t>ЯНДЕКС ДОСТАВКА - Софьино - Московская область, Раменский городской округ, логистический технопарк Софьино, стр. 3/1</t>
  </si>
  <si>
    <t>Тарифы на доставку поставок FBO</t>
  </si>
  <si>
    <t>Выберите склад доставки груза если требуется доставка на маркетплейс</t>
  </si>
  <si>
    <t>Укажите кол-во паллет для поставки на маркетплейс</t>
  </si>
  <si>
    <t>Кол-во мест, шт</t>
  </si>
  <si>
    <t>Стоимость услуг доставки на маркетплейс</t>
  </si>
  <si>
    <t>Доставка поставок на маркетплейсы (FBO заказы)</t>
  </si>
  <si>
    <t>Укажите основные параметры для расчета примерной стоимости услуг по обработке возвратов</t>
  </si>
  <si>
    <t>Стоимость услуг обработки обработки возвратов</t>
  </si>
  <si>
    <t>К возврату, 
шт товара</t>
  </si>
  <si>
    <t xml:space="preserve">Итого заказов к возврату: </t>
  </si>
  <si>
    <t>Укажите дополнительные параметры возвратов</t>
  </si>
  <si>
    <t>Приемка возвратов</t>
  </si>
  <si>
    <t>Услуга для  маркетплейсов</t>
  </si>
  <si>
    <t>Сбор возвратов</t>
  </si>
  <si>
    <t>Сбор с маркетплейса</t>
  </si>
  <si>
    <t>Услуга для любых типов возврата</t>
  </si>
  <si>
    <t>Итоговая стоимость услуг</t>
  </si>
  <si>
    <t>Стоимость</t>
  </si>
  <si>
    <t>Выгрузка валом при приемке</t>
  </si>
  <si>
    <t>Стикерование</t>
  </si>
  <si>
    <t>Упаковочные материаы</t>
  </si>
  <si>
    <t>Доставка на маркетплейс</t>
  </si>
  <si>
    <t>Общий итог:</t>
  </si>
  <si>
    <t>европаллет 120 х 80 см</t>
  </si>
  <si>
    <t>=&gt;200</t>
  </si>
  <si>
    <t>=&gt;25</t>
  </si>
  <si>
    <t>=&gt;270</t>
  </si>
  <si>
    <t>=&gt;50</t>
  </si>
  <si>
    <t>Минимум</t>
  </si>
  <si>
    <t>WILDBERRIES - Подольск 4 - Подольск, Домодедовское шоссе, д. 22</t>
  </si>
  <si>
    <t>WILDBERRIES - Внуково - Поселение Марушкинское, квартал № 8</t>
  </si>
  <si>
    <t>OZON - Fresh_DC_МСК_Рябиновая - 121471, г. Москва, ул. Рябиновая, д. 51, стр. 2</t>
  </si>
  <si>
    <t>WILDBERRIES - Обухово - Московская область, Богородский городской округ, рабочий поселок Обухово, территория Атлант-Парк, дом 35</t>
  </si>
  <si>
    <t>LAMODA - Быково - 140150, Московская область, Раменский район, п. Быково, ул. Аэропортовская, 14</t>
  </si>
  <si>
    <t>WILDBERRIES - Пушкино - М-8 Холмогоры, 33-й километр, 16В, 4 корпус</t>
  </si>
  <si>
    <t>OZON - ПУШКИНО_1_РФЦ (склад) - Россия, Московская область, Пушкинский городской округ, г. Пушкино, Ярославское шоссе, д. 216.</t>
  </si>
  <si>
    <t>OZON - ПУШКИНО_2_РФЦ (склад) - Россия, Московская область, г.о. Пушкинский, г. Пушкино, Ярославское шоссе, д. 218</t>
  </si>
  <si>
    <t>OZON - ХОРУГВИНО_РФЦ (склад) - 141533, Московская обл., Солнечногорский р-н, с. п. Пешковское, дер. Хоругвино, стр. 32/2</t>
  </si>
  <si>
    <t>OZON - ХОРУГВИНО_РФЦ - Негабарит  - 141533, Московская область, Солнечногорский р-н, д. Хоругвино, 32/1</t>
  </si>
  <si>
    <t>N</t>
  </si>
  <si>
    <t>Мин. заказ, руб.</t>
  </si>
  <si>
    <t>* Могут применяться дополнительные тарифы и надбавки (ожидание на складе сверх предусмотренного времени и пр.)</t>
  </si>
  <si>
    <t>*** Расчет стоимости упаковочных материалов ориентировочный и расчитывается по среднему типовому расходу для габаритной категории товара</t>
  </si>
  <si>
    <t>* Все цены в расчетах  указываются без НДС</t>
  </si>
  <si>
    <t>РАЗДЕЛ 1</t>
  </si>
  <si>
    <t>РАЗДЕЛ 2</t>
  </si>
  <si>
    <t>РАЗДЕЛ 3</t>
  </si>
  <si>
    <t>РАЗДЕЛ 4</t>
  </si>
  <si>
    <t>РАЗДЕЛ 5</t>
  </si>
  <si>
    <t>РАЗДЕЛ 6</t>
  </si>
  <si>
    <t>РАЗДЕЛ 7</t>
  </si>
  <si>
    <t>РАЗДЕЛ 8</t>
  </si>
  <si>
    <t>РАЗДЕЛ 1.1</t>
  </si>
  <si>
    <t>РАЗДЕЛ 2.1</t>
  </si>
  <si>
    <t>РАЗДЕЛ 3.1</t>
  </si>
  <si>
    <t>РАЗДЕЛ 4.1</t>
  </si>
  <si>
    <t>РАЗДЕЛ 5.1</t>
  </si>
  <si>
    <t>РАЗДЕЛ 6.1</t>
  </si>
  <si>
    <t>РАЗДЕЛ 7.1</t>
  </si>
  <si>
    <t>** Все расчеты в калькуляторе являются предварительными/ориентировочными и могут не учитывать отдельные нестандартные операции в силу специфики бизнеса клиента, а также в силу усреднения отдельных операций/показателей или отсутствия дополнительных параметров, указанных клиентом</t>
  </si>
  <si>
    <t>Стоимость всех услуг на 1 ед. товара в поставке: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</si>
</sst>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2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3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1"/>
      <color theme="4" tint="0.39997558519241921"/>
      <name val="Calibri"/>
      <family val="2"/>
      <charset val="204"/>
      <scheme val="minor"/>
    </font>
    <font>
      <sz val="11"/>
      <color theme="4" tint="0.39997558519241921"/>
      <name val="Calibri"/>
      <family val="2"/>
      <scheme val="minor"/>
    </font>
    <font>
      <b/>
      <sz val="11"/>
      <color theme="4" tint="0.3999755851924192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7">
    <xf numFmtId="0" fontId="0" fillId="0" borderId="0" xfId="0"/>
    <xf numFmtId="0" fontId="2" fillId="0" borderId="0" xfId="0" applyFont="1"/>
    <xf numFmtId="0" fontId="0" fillId="4" borderId="3" xfId="0" applyFill="1" applyBorder="1" applyAlignment="1">
      <alignment horizontal="center" vertical="center" wrapText="1"/>
    </xf>
    <xf numFmtId="164" fontId="0" fillId="4" borderId="4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164" fontId="0" fillId="4" borderId="5" xfId="0" applyNumberForma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19" fillId="4" borderId="0" xfId="0" applyFont="1" applyFill="1" applyProtection="1">
      <protection hidden="1"/>
    </xf>
    <xf numFmtId="0" fontId="8" fillId="4" borderId="0" xfId="0" applyFont="1" applyFill="1" applyProtection="1">
      <protection hidden="1"/>
    </xf>
    <xf numFmtId="0" fontId="8" fillId="4" borderId="0" xfId="0" applyFont="1" applyFill="1" applyAlignment="1" applyProtection="1">
      <alignment vertical="center"/>
      <protection hidden="1"/>
    </xf>
    <xf numFmtId="0" fontId="9" fillId="4" borderId="0" xfId="0" applyFont="1" applyFill="1" applyProtection="1">
      <protection hidden="1"/>
    </xf>
    <xf numFmtId="0" fontId="9" fillId="4" borderId="0" xfId="0" applyFont="1" applyFill="1" applyAlignment="1" applyProtection="1">
      <alignment horizontal="center"/>
      <protection hidden="1"/>
    </xf>
    <xf numFmtId="0" fontId="9" fillId="4" borderId="13" xfId="0" applyFont="1" applyFill="1" applyBorder="1" applyProtection="1">
      <protection hidden="1"/>
    </xf>
    <xf numFmtId="0" fontId="9" fillId="4" borderId="12" xfId="0" applyFont="1" applyFill="1" applyBorder="1" applyProtection="1">
      <protection hidden="1"/>
    </xf>
    <xf numFmtId="0" fontId="0" fillId="4" borderId="0" xfId="0" applyFill="1" applyProtection="1">
      <protection hidden="1"/>
    </xf>
    <xf numFmtId="0" fontId="0" fillId="4" borderId="0" xfId="0" applyFill="1" applyAlignment="1" applyProtection="1">
      <alignment horizontal="center"/>
      <protection hidden="1"/>
    </xf>
    <xf numFmtId="0" fontId="0" fillId="4" borderId="13" xfId="0" applyFill="1" applyBorder="1" applyProtection="1">
      <protection hidden="1"/>
    </xf>
    <xf numFmtId="0" fontId="0" fillId="4" borderId="12" xfId="0" applyFill="1" applyBorder="1" applyProtection="1">
      <protection hidden="1"/>
    </xf>
    <xf numFmtId="0" fontId="7" fillId="4" borderId="0" xfId="0" applyFont="1" applyFill="1" applyProtection="1">
      <protection hidden="1"/>
    </xf>
    <xf numFmtId="0" fontId="5" fillId="4" borderId="0" xfId="0" applyFont="1" applyFill="1" applyProtection="1">
      <protection hidden="1"/>
    </xf>
    <xf numFmtId="0" fontId="0" fillId="4" borderId="7" xfId="0" applyFill="1" applyBorder="1" applyProtection="1">
      <protection hidden="1"/>
    </xf>
    <xf numFmtId="0" fontId="0" fillId="4" borderId="13" xfId="0" applyFill="1" applyBorder="1" applyAlignment="1" applyProtection="1">
      <alignment vertical="center"/>
      <protection hidden="1"/>
    </xf>
    <xf numFmtId="0" fontId="0" fillId="4" borderId="12" xfId="0" applyFill="1" applyBorder="1" applyAlignment="1" applyProtection="1">
      <alignment vertical="center"/>
      <protection hidden="1"/>
    </xf>
    <xf numFmtId="0" fontId="4" fillId="2" borderId="19" xfId="0" applyFont="1" applyFill="1" applyBorder="1" applyAlignment="1" applyProtection="1">
      <alignment horizontal="center" vertical="center" wrapText="1"/>
      <protection hidden="1"/>
    </xf>
    <xf numFmtId="0" fontId="0" fillId="4" borderId="0" xfId="0" applyFill="1" applyAlignment="1" applyProtection="1">
      <alignment vertical="center"/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0" fillId="4" borderId="7" xfId="0" applyFill="1" applyBorder="1" applyAlignment="1" applyProtection="1">
      <alignment vertical="center"/>
      <protection hidden="1"/>
    </xf>
    <xf numFmtId="0" fontId="0" fillId="4" borderId="1" xfId="0" applyFill="1" applyBorder="1" applyAlignment="1" applyProtection="1">
      <alignment horizontal="center" vertical="center"/>
      <protection hidden="1"/>
    </xf>
    <xf numFmtId="0" fontId="0" fillId="4" borderId="0" xfId="0" applyFill="1" applyAlignment="1" applyProtection="1">
      <alignment horizontal="left"/>
      <protection hidden="1"/>
    </xf>
    <xf numFmtId="0" fontId="1" fillId="4" borderId="0" xfId="0" applyFont="1" applyFill="1" applyAlignment="1" applyProtection="1">
      <alignment horizontal="center"/>
      <protection hidden="1"/>
    </xf>
    <xf numFmtId="164" fontId="1" fillId="4" borderId="0" xfId="0" applyNumberFormat="1" applyFont="1" applyFill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8" fillId="4" borderId="0" xfId="0" applyFont="1" applyFill="1" applyAlignment="1" applyProtection="1">
      <alignment horizontal="center" vertical="center"/>
      <protection locked="0" hidden="1"/>
    </xf>
    <xf numFmtId="164" fontId="0" fillId="4" borderId="9" xfId="0" applyNumberForma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0" fillId="4" borderId="25" xfId="0" applyFill="1" applyBorder="1" applyAlignment="1">
      <alignment horizontal="center" vertical="center" wrapText="1"/>
    </xf>
    <xf numFmtId="164" fontId="0" fillId="4" borderId="26" xfId="0" applyNumberForma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5" borderId="6" xfId="0" applyFont="1" applyFill="1" applyBorder="1" applyProtection="1">
      <protection hidden="1"/>
    </xf>
    <xf numFmtId="0" fontId="8" fillId="5" borderId="6" xfId="0" applyFont="1" applyFill="1" applyBorder="1" applyAlignment="1" applyProtection="1">
      <alignment horizontal="center"/>
      <protection hidden="1"/>
    </xf>
    <xf numFmtId="0" fontId="8" fillId="5" borderId="18" xfId="0" applyFont="1" applyFill="1" applyBorder="1" applyProtection="1">
      <protection hidden="1"/>
    </xf>
    <xf numFmtId="0" fontId="8" fillId="5" borderId="12" xfId="0" applyFont="1" applyFill="1" applyBorder="1" applyProtection="1">
      <protection hidden="1"/>
    </xf>
    <xf numFmtId="0" fontId="14" fillId="5" borderId="0" xfId="0" applyFont="1" applyFill="1" applyProtection="1">
      <protection hidden="1"/>
    </xf>
    <xf numFmtId="0" fontId="8" fillId="5" borderId="0" xfId="0" applyFont="1" applyFill="1" applyAlignment="1" applyProtection="1">
      <alignment horizontal="center"/>
      <protection hidden="1"/>
    </xf>
    <xf numFmtId="0" fontId="8" fillId="5" borderId="0" xfId="0" applyFont="1" applyFill="1" applyProtection="1">
      <protection hidden="1"/>
    </xf>
    <xf numFmtId="0" fontId="8" fillId="5" borderId="13" xfId="0" applyFont="1" applyFill="1" applyBorder="1" applyProtection="1">
      <protection hidden="1"/>
    </xf>
    <xf numFmtId="0" fontId="18" fillId="5" borderId="0" xfId="0" applyFont="1" applyFill="1" applyProtection="1">
      <protection hidden="1"/>
    </xf>
    <xf numFmtId="0" fontId="10" fillId="5" borderId="0" xfId="0" applyFont="1" applyFill="1" applyProtection="1">
      <protection hidden="1"/>
    </xf>
    <xf numFmtId="0" fontId="13" fillId="5" borderId="0" xfId="0" applyFont="1" applyFill="1" applyAlignment="1" applyProtection="1">
      <alignment horizontal="center" vertical="center"/>
      <protection hidden="1"/>
    </xf>
    <xf numFmtId="0" fontId="4" fillId="5" borderId="0" xfId="0" applyFont="1" applyFill="1" applyAlignment="1" applyProtection="1">
      <alignment horizontal="center" vertical="center"/>
      <protection hidden="1"/>
    </xf>
    <xf numFmtId="0" fontId="11" fillId="5" borderId="0" xfId="0" applyFont="1" applyFill="1" applyProtection="1">
      <protection hidden="1"/>
    </xf>
    <xf numFmtId="0" fontId="8" fillId="5" borderId="14" xfId="0" applyFont="1" applyFill="1" applyBorder="1" applyProtection="1">
      <protection hidden="1"/>
    </xf>
    <xf numFmtId="0" fontId="8" fillId="5" borderId="15" xfId="0" applyFont="1" applyFill="1" applyBorder="1" applyProtection="1">
      <protection hidden="1"/>
    </xf>
    <xf numFmtId="0" fontId="8" fillId="5" borderId="15" xfId="0" applyFont="1" applyFill="1" applyBorder="1" applyAlignment="1" applyProtection="1">
      <alignment horizontal="center"/>
      <protection hidden="1"/>
    </xf>
    <xf numFmtId="164" fontId="4" fillId="5" borderId="15" xfId="0" applyNumberFormat="1" applyFont="1" applyFill="1" applyBorder="1" applyAlignment="1" applyProtection="1">
      <alignment horizontal="center"/>
      <protection hidden="1"/>
    </xf>
    <xf numFmtId="0" fontId="8" fillId="5" borderId="16" xfId="0" applyFont="1" applyFill="1" applyBorder="1" applyProtection="1">
      <protection hidden="1"/>
    </xf>
    <xf numFmtId="0" fontId="0" fillId="5" borderId="6" xfId="0" applyFill="1" applyBorder="1" applyProtection="1">
      <protection hidden="1"/>
    </xf>
    <xf numFmtId="0" fontId="0" fillId="5" borderId="18" xfId="0" applyFill="1" applyBorder="1" applyProtection="1">
      <protection hidden="1"/>
    </xf>
    <xf numFmtId="0" fontId="0" fillId="5" borderId="12" xfId="0" applyFill="1" applyBorder="1" applyProtection="1">
      <protection hidden="1"/>
    </xf>
    <xf numFmtId="0" fontId="0" fillId="5" borderId="0" xfId="0" applyFill="1" applyProtection="1">
      <protection hidden="1"/>
    </xf>
    <xf numFmtId="0" fontId="0" fillId="5" borderId="13" xfId="0" applyFill="1" applyBorder="1" applyProtection="1">
      <protection hidden="1"/>
    </xf>
    <xf numFmtId="0" fontId="15" fillId="5" borderId="0" xfId="0" applyFont="1" applyFill="1" applyAlignment="1" applyProtection="1">
      <alignment horizontal="left"/>
      <protection hidden="1"/>
    </xf>
    <xf numFmtId="0" fontId="0" fillId="5" borderId="0" xfId="0" applyFill="1" applyAlignment="1" applyProtection="1">
      <alignment horizontal="left"/>
      <protection hidden="1"/>
    </xf>
    <xf numFmtId="0" fontId="1" fillId="5" borderId="0" xfId="0" applyFont="1" applyFill="1" applyAlignment="1" applyProtection="1">
      <alignment horizontal="right" vertical="center"/>
      <protection hidden="1"/>
    </xf>
    <xf numFmtId="164" fontId="13" fillId="5" borderId="0" xfId="0" applyNumberFormat="1" applyFont="1" applyFill="1" applyAlignment="1" applyProtection="1">
      <alignment horizontal="center"/>
      <protection hidden="1"/>
    </xf>
    <xf numFmtId="0" fontId="0" fillId="5" borderId="14" xfId="0" applyFill="1" applyBorder="1" applyProtection="1">
      <protection hidden="1"/>
    </xf>
    <xf numFmtId="0" fontId="0" fillId="5" borderId="15" xfId="0" applyFill="1" applyBorder="1" applyProtection="1">
      <protection hidden="1"/>
    </xf>
    <xf numFmtId="0" fontId="0" fillId="5" borderId="16" xfId="0" applyFill="1" applyBorder="1" applyProtection="1">
      <protection hidden="1"/>
    </xf>
    <xf numFmtId="0" fontId="0" fillId="0" borderId="0" xfId="0" applyAlignment="1">
      <alignment horizontal="center" vertical="center"/>
    </xf>
    <xf numFmtId="0" fontId="0" fillId="5" borderId="6" xfId="0" applyFill="1" applyBorder="1" applyAlignment="1" applyProtection="1">
      <alignment horizontal="center"/>
      <protection hidden="1"/>
    </xf>
    <xf numFmtId="0" fontId="2" fillId="5" borderId="0" xfId="0" applyFont="1" applyFill="1" applyProtection="1">
      <protection hidden="1"/>
    </xf>
    <xf numFmtId="0" fontId="0" fillId="5" borderId="0" xfId="0" applyFill="1" applyAlignment="1" applyProtection="1">
      <alignment horizontal="center"/>
      <protection hidden="1"/>
    </xf>
    <xf numFmtId="0" fontId="5" fillId="5" borderId="0" xfId="0" applyFont="1" applyFill="1" applyProtection="1">
      <protection hidden="1"/>
    </xf>
    <xf numFmtId="0" fontId="0" fillId="5" borderId="12" xfId="0" applyFill="1" applyBorder="1" applyAlignment="1" applyProtection="1">
      <alignment vertical="center"/>
      <protection hidden="1"/>
    </xf>
    <xf numFmtId="0" fontId="13" fillId="5" borderId="1" xfId="0" applyFont="1" applyFill="1" applyBorder="1" applyAlignment="1" applyProtection="1">
      <alignment horizontal="center" vertical="center"/>
      <protection hidden="1"/>
    </xf>
    <xf numFmtId="0" fontId="13" fillId="5" borderId="1" xfId="0" applyFont="1" applyFill="1" applyBorder="1" applyAlignment="1" applyProtection="1">
      <alignment horizontal="center" vertical="center" wrapText="1"/>
      <protection hidden="1"/>
    </xf>
    <xf numFmtId="0" fontId="0" fillId="5" borderId="0" xfId="0" applyFill="1" applyAlignment="1" applyProtection="1">
      <alignment vertical="center"/>
      <protection hidden="1"/>
    </xf>
    <xf numFmtId="0" fontId="0" fillId="5" borderId="15" xfId="0" applyFill="1" applyBorder="1" applyAlignment="1" applyProtection="1">
      <alignment horizontal="left"/>
      <protection hidden="1"/>
    </xf>
    <xf numFmtId="0" fontId="0" fillId="5" borderId="0" xfId="0" applyFill="1" applyAlignment="1" applyProtection="1">
      <alignment horizontal="center" vertical="center"/>
      <protection hidden="1"/>
    </xf>
    <xf numFmtId="0" fontId="1" fillId="5" borderId="0" xfId="0" applyFont="1" applyFill="1" applyAlignment="1" applyProtection="1">
      <alignment horizontal="center" vertical="center"/>
      <protection hidden="1"/>
    </xf>
    <xf numFmtId="0" fontId="0" fillId="5" borderId="15" xfId="0" applyFill="1" applyBorder="1" applyAlignment="1" applyProtection="1">
      <alignment horizontal="center"/>
      <protection hidden="1"/>
    </xf>
    <xf numFmtId="0" fontId="1" fillId="5" borderId="15" xfId="0" applyFont="1" applyFill="1" applyBorder="1" applyAlignment="1" applyProtection="1">
      <alignment horizontal="center"/>
      <protection hidden="1"/>
    </xf>
    <xf numFmtId="0" fontId="13" fillId="5" borderId="0" xfId="0" applyFont="1" applyFill="1" applyAlignment="1" applyProtection="1">
      <alignment horizontal="center" vertical="center" wrapText="1"/>
      <protection hidden="1"/>
    </xf>
    <xf numFmtId="164" fontId="1" fillId="5" borderId="0" xfId="0" applyNumberFormat="1" applyFont="1" applyFill="1" applyAlignment="1" applyProtection="1">
      <alignment horizontal="center" vertical="center"/>
      <protection hidden="1"/>
    </xf>
    <xf numFmtId="164" fontId="1" fillId="5" borderId="15" xfId="0" applyNumberFormat="1" applyFont="1" applyFill="1" applyBorder="1" applyAlignment="1" applyProtection="1">
      <alignment horizontal="center" vertical="center"/>
      <protection hidden="1"/>
    </xf>
    <xf numFmtId="0" fontId="20" fillId="5" borderId="0" xfId="0" applyFont="1" applyFill="1" applyAlignment="1" applyProtection="1">
      <alignment horizontal="center" vertical="center"/>
      <protection locked="0" hidden="1"/>
    </xf>
    <xf numFmtId="0" fontId="21" fillId="5" borderId="6" xfId="0" applyFont="1" applyFill="1" applyBorder="1" applyProtection="1">
      <protection hidden="1"/>
    </xf>
    <xf numFmtId="0" fontId="21" fillId="5" borderId="0" xfId="0" applyFont="1" applyFill="1" applyProtection="1">
      <protection hidden="1"/>
    </xf>
    <xf numFmtId="0" fontId="22" fillId="5" borderId="0" xfId="0" applyFont="1" applyFill="1" applyAlignment="1" applyProtection="1">
      <alignment horizontal="center" vertical="center" wrapText="1"/>
      <protection hidden="1"/>
    </xf>
    <xf numFmtId="164" fontId="22" fillId="5" borderId="0" xfId="0" applyNumberFormat="1" applyFont="1" applyFill="1" applyAlignment="1" applyProtection="1">
      <alignment horizontal="center" vertical="center"/>
      <protection locked="0" hidden="1"/>
    </xf>
    <xf numFmtId="164" fontId="22" fillId="5" borderId="0" xfId="0" applyNumberFormat="1" applyFont="1" applyFill="1" applyAlignment="1" applyProtection="1">
      <alignment horizontal="center" vertical="center"/>
      <protection hidden="1"/>
    </xf>
    <xf numFmtId="164" fontId="22" fillId="5" borderId="15" xfId="0" applyNumberFormat="1" applyFont="1" applyFill="1" applyBorder="1" applyAlignment="1" applyProtection="1">
      <alignment horizontal="center" vertical="center"/>
      <protection hidden="1"/>
    </xf>
    <xf numFmtId="164" fontId="20" fillId="5" borderId="0" xfId="0" applyNumberFormat="1" applyFont="1" applyFill="1" applyAlignment="1" applyProtection="1">
      <alignment horizontal="center" vertical="center"/>
      <protection locked="0" hidden="1"/>
    </xf>
    <xf numFmtId="0" fontId="0" fillId="5" borderId="13" xfId="0" applyFill="1" applyBorder="1" applyAlignment="1" applyProtection="1">
      <alignment vertical="center"/>
      <protection hidden="1"/>
    </xf>
    <xf numFmtId="0" fontId="16" fillId="5" borderId="1" xfId="0" applyFont="1" applyFill="1" applyBorder="1" applyAlignment="1" applyProtection="1">
      <alignment horizontal="center" vertical="center"/>
      <protection hidden="1"/>
    </xf>
    <xf numFmtId="0" fontId="13" fillId="5" borderId="19" xfId="0" applyFont="1" applyFill="1" applyBorder="1" applyAlignment="1" applyProtection="1">
      <alignment horizontal="center" vertical="center" wrapText="1"/>
      <protection hidden="1"/>
    </xf>
    <xf numFmtId="0" fontId="21" fillId="5" borderId="0" xfId="0" applyFont="1" applyFill="1" applyAlignment="1" applyProtection="1">
      <alignment horizontal="center"/>
      <protection hidden="1"/>
    </xf>
    <xf numFmtId="0" fontId="22" fillId="5" borderId="24" xfId="0" applyFont="1" applyFill="1" applyBorder="1" applyAlignment="1" applyProtection="1">
      <alignment horizontal="center" vertical="center" wrapText="1"/>
      <protection hidden="1"/>
    </xf>
    <xf numFmtId="0" fontId="21" fillId="5" borderId="24" xfId="0" applyFont="1" applyFill="1" applyBorder="1" applyAlignment="1" applyProtection="1">
      <alignment horizontal="center" vertical="center"/>
      <protection hidden="1"/>
    </xf>
    <xf numFmtId="0" fontId="5" fillId="5" borderId="0" xfId="0" applyFont="1" applyFill="1" applyAlignment="1" applyProtection="1">
      <alignment horizontal="left"/>
      <protection hidden="1"/>
    </xf>
    <xf numFmtId="0" fontId="16" fillId="0" borderId="1" xfId="0" applyFont="1" applyBorder="1" applyAlignment="1" applyProtection="1">
      <alignment horizontal="center" vertical="center"/>
      <protection locked="0" hidden="1"/>
    </xf>
    <xf numFmtId="0" fontId="21" fillId="5" borderId="19" xfId="0" applyFont="1" applyFill="1" applyBorder="1" applyAlignment="1" applyProtection="1">
      <alignment horizontal="center" vertical="center"/>
      <protection hidden="1"/>
    </xf>
    <xf numFmtId="0" fontId="20" fillId="5" borderId="12" xfId="0" applyFont="1" applyFill="1" applyBorder="1" applyAlignment="1" applyProtection="1">
      <alignment horizontal="center" vertical="center"/>
      <protection hidden="1"/>
    </xf>
    <xf numFmtId="0" fontId="0" fillId="5" borderId="0" xfId="0" applyFill="1" applyAlignment="1" applyProtection="1">
      <alignment horizontal="right" vertical="center"/>
      <protection hidden="1"/>
    </xf>
    <xf numFmtId="0" fontId="20" fillId="5" borderId="0" xfId="0" applyFont="1" applyFill="1" applyAlignment="1" applyProtection="1">
      <alignment vertical="center"/>
      <protection locked="0" hidden="1"/>
    </xf>
    <xf numFmtId="0" fontId="0" fillId="0" borderId="0" xfId="0" applyAlignment="1" applyProtection="1">
      <alignment horizontal="center" vertical="center"/>
      <protection locked="0" hidden="1"/>
    </xf>
    <xf numFmtId="0" fontId="0" fillId="0" borderId="1" xfId="0" applyBorder="1" applyAlignment="1" applyProtection="1">
      <alignment vertical="center"/>
      <protection hidden="1"/>
    </xf>
    <xf numFmtId="164" fontId="0" fillId="5" borderId="0" xfId="0" applyNumberFormat="1" applyFill="1" applyAlignment="1" applyProtection="1">
      <alignment horizontal="center" vertical="center"/>
      <protection hidden="1"/>
    </xf>
    <xf numFmtId="164" fontId="17" fillId="5" borderId="0" xfId="0" applyNumberFormat="1" applyFont="1" applyFill="1" applyAlignment="1" applyProtection="1">
      <alignment horizontal="center" vertical="center"/>
      <protection locked="0" hidden="1"/>
    </xf>
    <xf numFmtId="0" fontId="13" fillId="5" borderId="13" xfId="0" applyFont="1" applyFill="1" applyBorder="1" applyAlignment="1" applyProtection="1">
      <alignment horizontal="center" vertical="center" wrapText="1"/>
      <protection hidden="1"/>
    </xf>
    <xf numFmtId="164" fontId="20" fillId="5" borderId="13" xfId="0" applyNumberFormat="1" applyFont="1" applyFill="1" applyBorder="1" applyAlignment="1" applyProtection="1">
      <alignment horizontal="center" vertical="center"/>
      <protection hidden="1"/>
    </xf>
    <xf numFmtId="164" fontId="1" fillId="5" borderId="13" xfId="0" applyNumberFormat="1" applyFont="1" applyFill="1" applyBorder="1" applyAlignment="1" applyProtection="1">
      <alignment horizontal="center" vertical="center"/>
      <protection hidden="1"/>
    </xf>
    <xf numFmtId="164" fontId="1" fillId="5" borderId="16" xfId="0" applyNumberFormat="1" applyFont="1" applyFill="1" applyBorder="1" applyAlignment="1" applyProtection="1">
      <alignment horizontal="center" vertical="center"/>
      <protection hidden="1"/>
    </xf>
    <xf numFmtId="0" fontId="6" fillId="4" borderId="12" xfId="0" applyFont="1" applyFill="1" applyBorder="1" applyProtection="1">
      <protection hidden="1"/>
    </xf>
    <xf numFmtId="0" fontId="6" fillId="4" borderId="0" xfId="0" applyFont="1" applyFill="1" applyProtection="1">
      <protection hidden="1"/>
    </xf>
    <xf numFmtId="0" fontId="0" fillId="4" borderId="12" xfId="0" applyFill="1" applyBorder="1" applyAlignment="1" applyProtection="1">
      <alignment wrapText="1"/>
      <protection hidden="1"/>
    </xf>
    <xf numFmtId="0" fontId="0" fillId="4" borderId="0" xfId="0" applyFill="1" applyAlignment="1" applyProtection="1">
      <alignment wrapText="1"/>
      <protection hidden="1"/>
    </xf>
    <xf numFmtId="0" fontId="13" fillId="4" borderId="12" xfId="0" applyFont="1" applyFill="1" applyBorder="1" applyAlignment="1" applyProtection="1">
      <alignment horizontal="center" vertical="center" wrapText="1"/>
      <protection hidden="1"/>
    </xf>
    <xf numFmtId="0" fontId="13" fillId="4" borderId="0" xfId="0" applyFont="1" applyFill="1" applyAlignment="1" applyProtection="1">
      <alignment horizontal="center" vertical="center" wrapText="1"/>
      <protection hidden="1"/>
    </xf>
    <xf numFmtId="164" fontId="0" fillId="4" borderId="12" xfId="0" applyNumberFormat="1" applyFill="1" applyBorder="1" applyAlignment="1" applyProtection="1">
      <alignment horizontal="center" vertical="center" wrapText="1"/>
      <protection hidden="1"/>
    </xf>
    <xf numFmtId="164" fontId="0" fillId="4" borderId="0" xfId="0" applyNumberFormat="1" applyFill="1" applyAlignment="1" applyProtection="1">
      <alignment horizontal="center" vertical="center"/>
      <protection hidden="1"/>
    </xf>
    <xf numFmtId="164" fontId="20" fillId="4" borderId="0" xfId="0" applyNumberFormat="1" applyFont="1" applyFill="1" applyAlignment="1" applyProtection="1">
      <alignment horizontal="center" vertical="center"/>
      <protection hidden="1"/>
    </xf>
    <xf numFmtId="0" fontId="1" fillId="4" borderId="12" xfId="0" applyFont="1" applyFill="1" applyBorder="1" applyAlignment="1" applyProtection="1">
      <alignment horizontal="right" vertical="center"/>
      <protection hidden="1"/>
    </xf>
    <xf numFmtId="0" fontId="1" fillId="4" borderId="0" xfId="0" applyFont="1" applyFill="1" applyAlignment="1" applyProtection="1">
      <alignment horizontal="right" vertical="center"/>
      <protection hidden="1"/>
    </xf>
    <xf numFmtId="164" fontId="1" fillId="4" borderId="12" xfId="0" applyNumberFormat="1" applyFont="1" applyFill="1" applyBorder="1" applyAlignment="1" applyProtection="1">
      <alignment horizontal="center" vertical="center"/>
      <protection hidden="1"/>
    </xf>
    <xf numFmtId="164" fontId="0" fillId="5" borderId="0" xfId="0" applyNumberFormat="1" applyFill="1" applyAlignment="1" applyProtection="1">
      <alignment horizontal="center" vertical="center" wrapText="1"/>
      <protection hidden="1"/>
    </xf>
    <xf numFmtId="0" fontId="5" fillId="5" borderId="0" xfId="0" applyFont="1" applyFill="1" applyAlignment="1" applyProtection="1">
      <alignment vertical="center"/>
      <protection hidden="1"/>
    </xf>
    <xf numFmtId="164" fontId="0" fillId="6" borderId="0" xfId="0" applyNumberFormat="1" applyFill="1" applyAlignment="1" applyProtection="1">
      <alignment horizontal="center" vertical="center"/>
      <protection hidden="1"/>
    </xf>
    <xf numFmtId="164" fontId="0" fillId="6" borderId="0" xfId="0" applyNumberFormat="1" applyFill="1" applyAlignment="1" applyProtection="1">
      <alignment horizontal="center" vertical="center" wrapText="1"/>
      <protection hidden="1"/>
    </xf>
    <xf numFmtId="0" fontId="0" fillId="6" borderId="0" xfId="0" applyFill="1" applyAlignment="1" applyProtection="1">
      <alignment horizontal="center" vertical="center"/>
      <protection hidden="1"/>
    </xf>
    <xf numFmtId="164" fontId="16" fillId="6" borderId="0" xfId="0" applyNumberFormat="1" applyFont="1" applyFill="1" applyAlignment="1" applyProtection="1">
      <alignment horizontal="center"/>
      <protection hidden="1"/>
    </xf>
    <xf numFmtId="0" fontId="1" fillId="5" borderId="0" xfId="0" applyFont="1" applyFill="1" applyAlignment="1" applyProtection="1">
      <alignment horizontal="right"/>
      <protection hidden="1"/>
    </xf>
    <xf numFmtId="0" fontId="1" fillId="5" borderId="0" xfId="0" applyFont="1" applyFill="1" applyAlignment="1" applyProtection="1">
      <alignment horizontal="center"/>
      <protection hidden="1"/>
    </xf>
    <xf numFmtId="0" fontId="0" fillId="4" borderId="0" xfId="0" applyFill="1" applyAlignment="1" applyProtection="1">
      <alignment horizontal="center" vertical="center"/>
      <protection locked="0" hidden="1"/>
    </xf>
    <xf numFmtId="0" fontId="12" fillId="5" borderId="0" xfId="0" applyFont="1" applyFill="1" applyAlignment="1" applyProtection="1">
      <alignment horizontal="left"/>
      <protection hidden="1"/>
    </xf>
    <xf numFmtId="164" fontId="0" fillId="4" borderId="12" xfId="0" applyNumberFormat="1" applyFill="1" applyBorder="1" applyAlignment="1" applyProtection="1">
      <alignment horizontal="center" vertical="center"/>
      <protection hidden="1"/>
    </xf>
    <xf numFmtId="0" fontId="20" fillId="5" borderId="0" xfId="0" applyFont="1" applyFill="1" applyAlignment="1" applyProtection="1">
      <alignment horizontal="center"/>
      <protection hidden="1"/>
    </xf>
    <xf numFmtId="0" fontId="12" fillId="0" borderId="20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0" fontId="12" fillId="0" borderId="27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164" fontId="0" fillId="0" borderId="26" xfId="0" applyNumberFormat="1" applyBorder="1" applyAlignment="1">
      <alignment horizontal="center" vertical="center" wrapText="1"/>
    </xf>
    <xf numFmtId="0" fontId="12" fillId="0" borderId="20" xfId="0" applyFont="1" applyBorder="1" applyAlignment="1">
      <alignment vertical="center" wrapText="1"/>
    </xf>
    <xf numFmtId="0" fontId="12" fillId="0" borderId="31" xfId="0" applyFont="1" applyBorder="1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  <xf numFmtId="164" fontId="0" fillId="0" borderId="9" xfId="0" applyNumberFormat="1" applyBorder="1" applyAlignment="1">
      <alignment horizontal="center" vertical="center" wrapText="1"/>
    </xf>
    <xf numFmtId="0" fontId="3" fillId="2" borderId="34" xfId="0" applyFont="1" applyFill="1" applyBorder="1" applyAlignment="1">
      <alignment vertical="center" wrapText="1"/>
    </xf>
    <xf numFmtId="0" fontId="3" fillId="2" borderId="35" xfId="0" applyFont="1" applyFill="1" applyBorder="1" applyAlignment="1">
      <alignment vertical="center" wrapText="1"/>
    </xf>
    <xf numFmtId="0" fontId="3" fillId="2" borderId="36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0" fillId="4" borderId="3" xfId="0" quotePrefix="1" applyFill="1" applyBorder="1" applyAlignment="1">
      <alignment horizontal="left" vertical="center" wrapText="1"/>
    </xf>
    <xf numFmtId="0" fontId="0" fillId="4" borderId="3" xfId="0" quotePrefix="1" applyFill="1" applyBorder="1" applyAlignment="1">
      <alignment horizontal="center" vertical="center" wrapText="1"/>
    </xf>
    <xf numFmtId="164" fontId="0" fillId="4" borderId="4" xfId="0" quotePrefix="1" applyNumberFormat="1" applyFill="1" applyBorder="1" applyAlignment="1">
      <alignment horizontal="center" vertical="center" wrapText="1"/>
    </xf>
    <xf numFmtId="0" fontId="6" fillId="5" borderId="0" xfId="0" applyFont="1" applyFill="1" applyAlignment="1" applyProtection="1">
      <alignment horizontal="center"/>
      <protection hidden="1"/>
    </xf>
    <xf numFmtId="0" fontId="1" fillId="5" borderId="0" xfId="0" applyFont="1" applyFill="1" applyAlignment="1" applyProtection="1">
      <alignment vertical="center"/>
      <protection hidden="1"/>
    </xf>
    <xf numFmtId="0" fontId="23" fillId="5" borderId="0" xfId="0" applyFont="1" applyFill="1" applyProtection="1">
      <protection hidden="1"/>
    </xf>
    <xf numFmtId="164" fontId="20" fillId="5" borderId="0" xfId="0" applyNumberFormat="1" applyFont="1" applyFill="1" applyAlignment="1" applyProtection="1">
      <alignment horizontal="center" vertical="center"/>
      <protection hidden="1"/>
    </xf>
    <xf numFmtId="0" fontId="0" fillId="0" borderId="1" xfId="0" applyBorder="1" applyProtection="1">
      <protection locked="0" hidden="1"/>
    </xf>
    <xf numFmtId="0" fontId="24" fillId="4" borderId="0" xfId="0" applyFont="1" applyFill="1" applyProtection="1">
      <protection hidden="1"/>
    </xf>
    <xf numFmtId="0" fontId="6" fillId="5" borderId="12" xfId="0" applyFont="1" applyFill="1" applyBorder="1" applyProtection="1">
      <protection hidden="1"/>
    </xf>
    <xf numFmtId="0" fontId="6" fillId="5" borderId="0" xfId="0" applyFont="1" applyFill="1" applyProtection="1">
      <protection hidden="1"/>
    </xf>
    <xf numFmtId="0" fontId="6" fillId="6" borderId="0" xfId="0" applyFont="1" applyFill="1" applyProtection="1">
      <protection hidden="1"/>
    </xf>
    <xf numFmtId="0" fontId="6" fillId="6" borderId="0" xfId="0" applyFont="1" applyFill="1" applyAlignment="1" applyProtection="1">
      <alignment horizontal="center"/>
      <protection hidden="1"/>
    </xf>
    <xf numFmtId="0" fontId="25" fillId="6" borderId="0" xfId="0" applyFont="1" applyFill="1" applyAlignment="1" applyProtection="1">
      <alignment horizontal="right"/>
      <protection hidden="1"/>
    </xf>
    <xf numFmtId="0" fontId="1" fillId="6" borderId="0" xfId="0" applyFont="1" applyFill="1" applyAlignment="1" applyProtection="1">
      <alignment horizontal="center"/>
      <protection hidden="1"/>
    </xf>
    <xf numFmtId="0" fontId="4" fillId="4" borderId="0" xfId="0" applyFont="1" applyFill="1" applyProtection="1">
      <protection hidden="1"/>
    </xf>
    <xf numFmtId="0" fontId="1" fillId="5" borderId="12" xfId="0" applyFont="1" applyFill="1" applyBorder="1" applyProtection="1">
      <protection hidden="1"/>
    </xf>
    <xf numFmtId="0" fontId="1" fillId="6" borderId="0" xfId="0" applyFont="1" applyFill="1" applyProtection="1">
      <protection hidden="1"/>
    </xf>
    <xf numFmtId="0" fontId="12" fillId="6" borderId="0" xfId="0" applyFont="1" applyFill="1" applyAlignment="1" applyProtection="1">
      <alignment horizontal="right"/>
      <protection hidden="1"/>
    </xf>
    <xf numFmtId="0" fontId="1" fillId="4" borderId="0" xfId="0" applyFont="1" applyFill="1" applyProtection="1">
      <protection hidden="1"/>
    </xf>
    <xf numFmtId="164" fontId="6" fillId="6" borderId="0" xfId="0" applyNumberFormat="1" applyFont="1" applyFill="1" applyAlignment="1" applyProtection="1">
      <alignment horizontal="center"/>
      <protection hidden="1"/>
    </xf>
    <xf numFmtId="164" fontId="12" fillId="6" borderId="0" xfId="0" applyNumberFormat="1" applyFont="1" applyFill="1" applyAlignment="1" applyProtection="1">
      <alignment horizontal="center"/>
      <protection hidden="1"/>
    </xf>
    <xf numFmtId="164" fontId="1" fillId="6" borderId="0" xfId="0" applyNumberFormat="1" applyFont="1" applyFill="1" applyAlignment="1" applyProtection="1">
      <alignment horizontal="center"/>
      <protection hidden="1"/>
    </xf>
    <xf numFmtId="164" fontId="6" fillId="5" borderId="0" xfId="0" applyNumberFormat="1" applyFont="1" applyFill="1" applyAlignment="1" applyProtection="1">
      <alignment horizontal="center"/>
      <protection hidden="1"/>
    </xf>
    <xf numFmtId="164" fontId="0" fillId="5" borderId="0" xfId="0" applyNumberFormat="1" applyFill="1" applyAlignment="1" applyProtection="1">
      <alignment horizontal="center"/>
      <protection hidden="1"/>
    </xf>
    <xf numFmtId="0" fontId="6" fillId="5" borderId="0" xfId="0" applyFont="1" applyFill="1" applyAlignment="1" applyProtection="1">
      <alignment horizontal="center" vertical="center"/>
      <protection hidden="1"/>
    </xf>
    <xf numFmtId="0" fontId="0" fillId="5" borderId="18" xfId="0" applyFill="1" applyBorder="1" applyAlignment="1" applyProtection="1">
      <alignment horizontal="center"/>
      <protection hidden="1"/>
    </xf>
    <xf numFmtId="0" fontId="0" fillId="5" borderId="13" xfId="0" applyFill="1" applyBorder="1" applyAlignment="1" applyProtection="1">
      <alignment horizontal="center"/>
      <protection hidden="1"/>
    </xf>
    <xf numFmtId="0" fontId="6" fillId="5" borderId="13" xfId="0" applyFont="1" applyFill="1" applyBorder="1" applyAlignment="1" applyProtection="1">
      <alignment horizontal="center"/>
      <protection hidden="1"/>
    </xf>
    <xf numFmtId="0" fontId="1" fillId="5" borderId="13" xfId="0" applyFont="1" applyFill="1" applyBorder="1" applyAlignment="1" applyProtection="1">
      <alignment horizontal="center"/>
      <protection hidden="1"/>
    </xf>
    <xf numFmtId="0" fontId="0" fillId="5" borderId="13" xfId="0" applyFill="1" applyBorder="1" applyAlignment="1" applyProtection="1">
      <alignment horizontal="center" vertical="center"/>
      <protection hidden="1"/>
    </xf>
    <xf numFmtId="0" fontId="0" fillId="5" borderId="16" xfId="0" applyFill="1" applyBorder="1" applyAlignment="1" applyProtection="1">
      <alignment horizontal="center"/>
      <protection hidden="1"/>
    </xf>
    <xf numFmtId="0" fontId="20" fillId="5" borderId="0" xfId="0" applyFont="1" applyFill="1" applyAlignment="1" applyProtection="1">
      <alignment horizontal="center"/>
      <protection locked="0" hidden="1"/>
    </xf>
    <xf numFmtId="0" fontId="12" fillId="0" borderId="28" xfId="0" applyFont="1" applyBorder="1" applyAlignment="1">
      <alignment horizontal="left" vertical="center" wrapText="1"/>
    </xf>
    <xf numFmtId="0" fontId="0" fillId="0" borderId="39" xfId="0" applyBorder="1" applyAlignment="1">
      <alignment horizontal="center" vertical="center" wrapText="1"/>
    </xf>
    <xf numFmtId="164" fontId="0" fillId="0" borderId="40" xfId="0" applyNumberFormat="1" applyBorder="1" applyAlignment="1">
      <alignment horizontal="center" vertical="center" wrapText="1"/>
    </xf>
    <xf numFmtId="0" fontId="12" fillId="0" borderId="41" xfId="0" applyFont="1" applyBorder="1" applyAlignment="1">
      <alignment horizontal="left" vertical="center" wrapText="1"/>
    </xf>
    <xf numFmtId="0" fontId="12" fillId="0" borderId="42" xfId="0" applyFont="1" applyBorder="1" applyAlignment="1">
      <alignment horizontal="left" vertical="center" wrapText="1"/>
    </xf>
    <xf numFmtId="0" fontId="0" fillId="0" borderId="8" xfId="0" quotePrefix="1" applyBorder="1" applyAlignment="1">
      <alignment horizontal="center" vertical="center" wrapText="1"/>
    </xf>
    <xf numFmtId="0" fontId="3" fillId="2" borderId="43" xfId="0" applyFont="1" applyFill="1" applyBorder="1" applyAlignment="1">
      <alignment vertical="center" wrapText="1"/>
    </xf>
    <xf numFmtId="0" fontId="3" fillId="2" borderId="44" xfId="0" applyFont="1" applyFill="1" applyBorder="1" applyAlignment="1">
      <alignment vertical="center" wrapText="1"/>
    </xf>
    <xf numFmtId="164" fontId="0" fillId="4" borderId="3" xfId="0" quotePrefix="1" applyNumberFormat="1" applyFill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164" fontId="0" fillId="0" borderId="5" xfId="0" quotePrefix="1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7" borderId="4" xfId="0" applyNumberFormat="1" applyFill="1" applyBorder="1" applyAlignment="1">
      <alignment horizontal="center" vertical="center" wrapText="1"/>
    </xf>
    <xf numFmtId="164" fontId="0" fillId="7" borderId="5" xfId="0" applyNumberFormat="1" applyFill="1" applyBorder="1" applyAlignment="1">
      <alignment horizontal="center" vertical="center" wrapText="1"/>
    </xf>
    <xf numFmtId="164" fontId="0" fillId="7" borderId="5" xfId="0" quotePrefix="1" applyNumberFormat="1" applyFill="1" applyBorder="1" applyAlignment="1">
      <alignment horizontal="center" vertical="center" wrapText="1"/>
    </xf>
    <xf numFmtId="164" fontId="0" fillId="7" borderId="9" xfId="0" quotePrefix="1" applyNumberFormat="1" applyFill="1" applyBorder="1" applyAlignment="1">
      <alignment horizontal="center" vertical="center" wrapText="1"/>
    </xf>
    <xf numFmtId="0" fontId="8" fillId="2" borderId="17" xfId="0" applyFont="1" applyFill="1" applyBorder="1" applyProtection="1">
      <protection hidden="1"/>
    </xf>
    <xf numFmtId="0" fontId="4" fillId="2" borderId="6" xfId="0" applyFont="1" applyFill="1" applyBorder="1" applyAlignment="1" applyProtection="1">
      <alignment horizontal="center" vertical="center"/>
      <protection hidden="1"/>
    </xf>
    <xf numFmtId="0" fontId="6" fillId="5" borderId="0" xfId="0" applyFont="1" applyFill="1" applyAlignment="1" applyProtection="1">
      <alignment horizontal="right" vertical="center"/>
      <protection hidden="1"/>
    </xf>
    <xf numFmtId="164" fontId="6" fillId="6" borderId="0" xfId="0" applyNumberFormat="1" applyFont="1" applyFill="1" applyAlignment="1" applyProtection="1">
      <alignment horizontal="center" vertical="center"/>
      <protection hidden="1"/>
    </xf>
    <xf numFmtId="0" fontId="1" fillId="5" borderId="19" xfId="0" applyFont="1" applyFill="1" applyBorder="1" applyAlignment="1" applyProtection="1">
      <alignment horizontal="center" vertical="center"/>
      <protection hidden="1"/>
    </xf>
    <xf numFmtId="0" fontId="1" fillId="5" borderId="0" xfId="0" applyFont="1" applyFill="1" applyAlignment="1" applyProtection="1">
      <alignment horizontal="center" vertical="center"/>
      <protection hidden="1"/>
    </xf>
    <xf numFmtId="0" fontId="6" fillId="5" borderId="0" xfId="0" applyFont="1" applyFill="1" applyAlignment="1" applyProtection="1">
      <alignment horizontal="center"/>
      <protection hidden="1"/>
    </xf>
    <xf numFmtId="0" fontId="0" fillId="5" borderId="0" xfId="0" applyFill="1" applyAlignment="1" applyProtection="1">
      <alignment horizontal="left" wrapText="1"/>
      <protection hidden="1"/>
    </xf>
    <xf numFmtId="0" fontId="0" fillId="5" borderId="0" xfId="0" applyFill="1" applyAlignment="1" applyProtection="1">
      <alignment horizontal="center" wrapText="1"/>
      <protection hidden="1"/>
    </xf>
    <xf numFmtId="0" fontId="0" fillId="5" borderId="0" xfId="0" applyFill="1" applyAlignment="1" applyProtection="1">
      <alignment horizontal="center"/>
      <protection hidden="1"/>
    </xf>
    <xf numFmtId="0" fontId="5" fillId="5" borderId="0" xfId="0" applyFont="1" applyFill="1" applyAlignment="1" applyProtection="1">
      <alignment horizontal="right" vertical="center"/>
      <protection hidden="1"/>
    </xf>
    <xf numFmtId="0" fontId="1" fillId="5" borderId="19" xfId="0" applyFont="1" applyFill="1" applyBorder="1" applyAlignment="1" applyProtection="1">
      <alignment horizontal="right" vertical="top"/>
      <protection hidden="1"/>
    </xf>
    <xf numFmtId="0" fontId="1" fillId="5" borderId="0" xfId="0" applyFont="1" applyFill="1" applyAlignment="1" applyProtection="1">
      <alignment horizontal="right" vertical="top"/>
      <protection hidden="1"/>
    </xf>
    <xf numFmtId="0" fontId="5" fillId="5" borderId="0" xfId="0" applyFont="1" applyFill="1" applyAlignment="1" applyProtection="1">
      <alignment horizontal="center" vertical="center"/>
      <protection hidden="1"/>
    </xf>
    <xf numFmtId="0" fontId="3" fillId="5" borderId="0" xfId="0" applyFont="1" applyFill="1" applyAlignment="1" applyProtection="1">
      <alignment horizontal="left"/>
      <protection hidden="1"/>
    </xf>
    <xf numFmtId="0" fontId="1" fillId="4" borderId="2" xfId="0" applyFont="1" applyFill="1" applyBorder="1" applyAlignment="1">
      <alignment horizontal="left" vertical="center" wrapText="1"/>
    </xf>
    <xf numFmtId="0" fontId="1" fillId="4" borderId="22" xfId="0" applyFont="1" applyFill="1" applyBorder="1" applyAlignment="1">
      <alignment horizontal="left" vertical="center" wrapText="1"/>
    </xf>
    <xf numFmtId="0" fontId="1" fillId="4" borderId="2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2" fillId="0" borderId="21" xfId="0" applyFont="1" applyBorder="1" applyAlignment="1">
      <alignment horizontal="left" vertical="center" wrapText="1"/>
    </xf>
    <xf numFmtId="0" fontId="12" fillId="4" borderId="3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2" fillId="4" borderId="25" xfId="0" applyFont="1" applyFill="1" applyBorder="1" applyAlignment="1">
      <alignment horizontal="left" vertical="center" wrapText="1"/>
    </xf>
    <xf numFmtId="0" fontId="12" fillId="4" borderId="8" xfId="0" applyFont="1" applyFill="1" applyBorder="1" applyAlignment="1">
      <alignment horizontal="left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2" fillId="0" borderId="10" xfId="0" applyFont="1" applyBorder="1" applyAlignment="1">
      <alignment horizontal="left" vertical="center" wrapText="1"/>
    </xf>
    <xf numFmtId="0" fontId="12" fillId="0" borderId="24" xfId="0" applyFont="1" applyBorder="1" applyAlignment="1">
      <alignment horizontal="left" vertical="center" wrapText="1"/>
    </xf>
    <xf numFmtId="0" fontId="12" fillId="0" borderId="27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2" fillId="4" borderId="2" xfId="0" applyFont="1" applyFill="1" applyBorder="1" applyAlignment="1">
      <alignment horizontal="left" vertical="center" wrapText="1"/>
    </xf>
    <xf numFmtId="0" fontId="12" fillId="4" borderId="22" xfId="0" applyFont="1" applyFill="1" applyBorder="1" applyAlignment="1">
      <alignment horizontal="left" vertical="center" wrapText="1"/>
    </xf>
    <xf numFmtId="0" fontId="12" fillId="4" borderId="32" xfId="0" applyFont="1" applyFill="1" applyBorder="1" applyAlignment="1">
      <alignment horizontal="left" vertical="center" wrapText="1"/>
    </xf>
    <xf numFmtId="0" fontId="12" fillId="4" borderId="33" xfId="0" applyFont="1" applyFill="1" applyBorder="1" applyAlignment="1">
      <alignment horizontal="left" vertical="center" wrapText="1"/>
    </xf>
    <xf numFmtId="0" fontId="1" fillId="0" borderId="30" xfId="0" applyFont="1" applyBorder="1" applyAlignment="1">
      <alignment horizontal="center" vertical="center"/>
    </xf>
    <xf numFmtId="0" fontId="12" fillId="0" borderId="28" xfId="0" applyFont="1" applyBorder="1" applyAlignment="1">
      <alignment horizontal="left" vertical="center" wrapText="1"/>
    </xf>
    <xf numFmtId="0" fontId="12" fillId="0" borderId="21" xfId="0" applyFont="1" applyBorder="1" applyAlignment="1">
      <alignment vertical="center" wrapText="1"/>
    </xf>
  </cellXfs>
  <cellStyles count="1">
    <cellStyle name="Обычный" xfId="0" builtinId="0"/>
  </cellStyles>
  <dxfs count="42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4" tint="0.3999450666829432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ont>
        <b/>
        <i val="0"/>
        <color rgb="FFFF0000"/>
      </font>
    </dxf>
    <dxf>
      <font>
        <color rgb="FF0432FF"/>
      </font>
    </dxf>
    <dxf>
      <font>
        <color theme="4" tint="0.39994506668294322"/>
      </font>
      <fill>
        <patternFill>
          <bgColor theme="4" tint="0.39994506668294322"/>
        </patternFill>
      </fill>
    </dxf>
  </dxfs>
  <tableStyles count="0" defaultTableStyle="TableStyleMedium2" defaultPivotStyle="PivotStyleLight16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checked="Checked" firstButton="1" fmlaLink="$A$7" lockText="1" noThreeD="1"/>
</file>

<file path=xl/ctrlProps/ctrlProp10.xml><?xml version="1.0" encoding="utf-8"?>
<formControlPr xmlns="http://schemas.microsoft.com/office/spreadsheetml/2009/9/main" objectType="CheckBox" fmlaLink="$S$28" lockText="1" noThreeD="1"/>
</file>

<file path=xl/ctrlProps/ctrlProp100.xml><?xml version="1.0" encoding="utf-8"?>
<formControlPr xmlns="http://schemas.microsoft.com/office/spreadsheetml/2009/9/main" objectType="CheckBox" fmlaLink="$Y$82" lockText="1"/>
</file>

<file path=xl/ctrlProps/ctrlProp101.xml><?xml version="1.0" encoding="utf-8"?>
<formControlPr xmlns="http://schemas.microsoft.com/office/spreadsheetml/2009/9/main" objectType="CheckBox" fmlaLink="$Y$83" lockText="1"/>
</file>

<file path=xl/ctrlProps/ctrlProp102.xml><?xml version="1.0" encoding="utf-8"?>
<formControlPr xmlns="http://schemas.microsoft.com/office/spreadsheetml/2009/9/main" objectType="CheckBox" fmlaLink="$Y$84" lockText="1"/>
</file>

<file path=xl/ctrlProps/ctrlProp103.xml><?xml version="1.0" encoding="utf-8"?>
<formControlPr xmlns="http://schemas.microsoft.com/office/spreadsheetml/2009/9/main" objectType="CheckBox" fmlaLink="$Y$85" lockText="1"/>
</file>

<file path=xl/ctrlProps/ctrlProp104.xml><?xml version="1.0" encoding="utf-8"?>
<formControlPr xmlns="http://schemas.microsoft.com/office/spreadsheetml/2009/9/main" objectType="CheckBox" fmlaLink="$Y$86" lockText="1"/>
</file>

<file path=xl/ctrlProps/ctrlProp105.xml><?xml version="1.0" encoding="utf-8"?>
<formControlPr xmlns="http://schemas.microsoft.com/office/spreadsheetml/2009/9/main" objectType="CheckBox" fmlaLink="$Y$87" lockText="1"/>
</file>

<file path=xl/ctrlProps/ctrlProp106.xml><?xml version="1.0" encoding="utf-8"?>
<formControlPr xmlns="http://schemas.microsoft.com/office/spreadsheetml/2009/9/main" objectType="Drop" dropStyle="combo" dx="15" fmlaLink="$M$96" fmlaRange="'Тарифы ФФ'!$D$95:$D$112" noThreeD="1" sel="1" val="0"/>
</file>

<file path=xl/ctrlProps/ctrlProp107.xml><?xml version="1.0" encoding="utf-8"?>
<formControlPr xmlns="http://schemas.microsoft.com/office/spreadsheetml/2009/9/main" objectType="CheckBox" fmlaLink="$S$111" lockText="1"/>
</file>

<file path=xl/ctrlProps/ctrlProp108.xml><?xml version="1.0" encoding="utf-8"?>
<formControlPr xmlns="http://schemas.microsoft.com/office/spreadsheetml/2009/9/main" objectType="CheckBox" fmlaLink="$S$112" lockText="1"/>
</file>

<file path=xl/ctrlProps/ctrlProp109.xml><?xml version="1.0" encoding="utf-8"?>
<formControlPr xmlns="http://schemas.microsoft.com/office/spreadsheetml/2009/9/main" objectType="CheckBox" fmlaLink="$S$113" lockText="1"/>
</file>

<file path=xl/ctrlProps/ctrlProp11.xml><?xml version="1.0" encoding="utf-8"?>
<formControlPr xmlns="http://schemas.microsoft.com/office/spreadsheetml/2009/9/main" objectType="CheckBox" fmlaLink="$S$29" lockText="1" noThreeD="1"/>
</file>

<file path=xl/ctrlProps/ctrlProp110.xml><?xml version="1.0" encoding="utf-8"?>
<formControlPr xmlns="http://schemas.microsoft.com/office/spreadsheetml/2009/9/main" objectType="CheckBox" fmlaLink="$S$114" lockText="1"/>
</file>

<file path=xl/ctrlProps/ctrlProp111.xml><?xml version="1.0" encoding="utf-8"?>
<formControlPr xmlns="http://schemas.microsoft.com/office/spreadsheetml/2009/9/main" objectType="CheckBox" fmlaLink="$S$115" lockText="1"/>
</file>

<file path=xl/ctrlProps/ctrlProp112.xml><?xml version="1.0" encoding="utf-8"?>
<formControlPr xmlns="http://schemas.microsoft.com/office/spreadsheetml/2009/9/main" objectType="CheckBox" fmlaLink="$S$116" lockText="1"/>
</file>

<file path=xl/ctrlProps/ctrlProp113.xml><?xml version="1.0" encoding="utf-8"?>
<formControlPr xmlns="http://schemas.microsoft.com/office/spreadsheetml/2009/9/main" objectType="CheckBox" fmlaLink="$S$117" lockText="1"/>
</file>

<file path=xl/ctrlProps/ctrlProp114.xml><?xml version="1.0" encoding="utf-8"?>
<formControlPr xmlns="http://schemas.microsoft.com/office/spreadsheetml/2009/9/main" objectType="CheckBox" fmlaLink="$S$118" lockText="1"/>
</file>

<file path=xl/ctrlProps/ctrlProp115.xml><?xml version="1.0" encoding="utf-8"?>
<formControlPr xmlns="http://schemas.microsoft.com/office/spreadsheetml/2009/9/main" objectType="CheckBox" fmlaLink="$S$119" lockText="1"/>
</file>

<file path=xl/ctrlProps/ctrlProp116.xml><?xml version="1.0" encoding="utf-8"?>
<formControlPr xmlns="http://schemas.microsoft.com/office/spreadsheetml/2009/9/main" objectType="CheckBox" fmlaLink="$S$120" lockText="1"/>
</file>

<file path=xl/ctrlProps/ctrlProp12.xml><?xml version="1.0" encoding="utf-8"?>
<formControlPr xmlns="http://schemas.microsoft.com/office/spreadsheetml/2009/9/main" objectType="CheckBox" fmlaLink="$S$30" lockText="1" noThreeD="1"/>
</file>

<file path=xl/ctrlProps/ctrlProp13.xml><?xml version="1.0" encoding="utf-8"?>
<formControlPr xmlns="http://schemas.microsoft.com/office/spreadsheetml/2009/9/main" objectType="CheckBox" fmlaLink="$V$21" lockText="1" noThreeD="1"/>
</file>

<file path=xl/ctrlProps/ctrlProp14.xml><?xml version="1.0" encoding="utf-8"?>
<formControlPr xmlns="http://schemas.microsoft.com/office/spreadsheetml/2009/9/main" objectType="CheckBox" fmlaLink="$V$22" lockText="1" noThreeD="1"/>
</file>

<file path=xl/ctrlProps/ctrlProp15.xml><?xml version="1.0" encoding="utf-8"?>
<formControlPr xmlns="http://schemas.microsoft.com/office/spreadsheetml/2009/9/main" objectType="CheckBox" fmlaLink="$V$23" lockText="1" noThreeD="1"/>
</file>

<file path=xl/ctrlProps/ctrlProp16.xml><?xml version="1.0" encoding="utf-8"?>
<formControlPr xmlns="http://schemas.microsoft.com/office/spreadsheetml/2009/9/main" objectType="CheckBox" fmlaLink="$V$24" lockText="1" noThreeD="1"/>
</file>

<file path=xl/ctrlProps/ctrlProp17.xml><?xml version="1.0" encoding="utf-8"?>
<formControlPr xmlns="http://schemas.microsoft.com/office/spreadsheetml/2009/9/main" objectType="CheckBox" fmlaLink="$V$25" lockText="1" noThreeD="1"/>
</file>

<file path=xl/ctrlProps/ctrlProp18.xml><?xml version="1.0" encoding="utf-8"?>
<formControlPr xmlns="http://schemas.microsoft.com/office/spreadsheetml/2009/9/main" objectType="CheckBox" fmlaLink="$V$26" lockText="1" noThreeD="1"/>
</file>

<file path=xl/ctrlProps/ctrlProp19.xml><?xml version="1.0" encoding="utf-8"?>
<formControlPr xmlns="http://schemas.microsoft.com/office/spreadsheetml/2009/9/main" objectType="CheckBox" fmlaLink="$V$27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CheckBox" fmlaLink="$V$28" lockText="1" noThreeD="1"/>
</file>

<file path=xl/ctrlProps/ctrlProp21.xml><?xml version="1.0" encoding="utf-8"?>
<formControlPr xmlns="http://schemas.microsoft.com/office/spreadsheetml/2009/9/main" objectType="CheckBox" fmlaLink="$V$29" lockText="1" noThreeD="1"/>
</file>

<file path=xl/ctrlProps/ctrlProp22.xml><?xml version="1.0" encoding="utf-8"?>
<formControlPr xmlns="http://schemas.microsoft.com/office/spreadsheetml/2009/9/main" objectType="CheckBox" fmlaLink="$V$30" lockText="1" noThreeD="1"/>
</file>

<file path=xl/ctrlProps/ctrlProp23.xml><?xml version="1.0" encoding="utf-8"?>
<formControlPr xmlns="http://schemas.microsoft.com/office/spreadsheetml/2009/9/main" objectType="CheckBox" fmlaLink="$Y$21" lockText="1" noThreeD="1"/>
</file>

<file path=xl/ctrlProps/ctrlProp24.xml><?xml version="1.0" encoding="utf-8"?>
<formControlPr xmlns="http://schemas.microsoft.com/office/spreadsheetml/2009/9/main" objectType="CheckBox" fmlaLink="$Y$22" lockText="1" noThreeD="1"/>
</file>

<file path=xl/ctrlProps/ctrlProp25.xml><?xml version="1.0" encoding="utf-8"?>
<formControlPr xmlns="http://schemas.microsoft.com/office/spreadsheetml/2009/9/main" objectType="CheckBox" fmlaLink="$Y$23" lockText="1" noThreeD="1"/>
</file>

<file path=xl/ctrlProps/ctrlProp26.xml><?xml version="1.0" encoding="utf-8"?>
<formControlPr xmlns="http://schemas.microsoft.com/office/spreadsheetml/2009/9/main" objectType="CheckBox" fmlaLink="$Y$24" lockText="1" noThreeD="1"/>
</file>

<file path=xl/ctrlProps/ctrlProp27.xml><?xml version="1.0" encoding="utf-8"?>
<formControlPr xmlns="http://schemas.microsoft.com/office/spreadsheetml/2009/9/main" objectType="CheckBox" fmlaLink="$Y$25" lockText="1" noThreeD="1"/>
</file>

<file path=xl/ctrlProps/ctrlProp28.xml><?xml version="1.0" encoding="utf-8"?>
<formControlPr xmlns="http://schemas.microsoft.com/office/spreadsheetml/2009/9/main" objectType="CheckBox" fmlaLink="$Y$26" lockText="1" noThreeD="1"/>
</file>

<file path=xl/ctrlProps/ctrlProp29.xml><?xml version="1.0" encoding="utf-8"?>
<formControlPr xmlns="http://schemas.microsoft.com/office/spreadsheetml/2009/9/main" objectType="CheckBox" fmlaLink="$Y$27" lockText="1" noThreeD="1"/>
</file>

<file path=xl/ctrlProps/ctrlProp3.xml><?xml version="1.0" encoding="utf-8"?>
<formControlPr xmlns="http://schemas.microsoft.com/office/spreadsheetml/2009/9/main" objectType="CheckBox" fmlaLink="$S$21" lockText="1"/>
</file>

<file path=xl/ctrlProps/ctrlProp30.xml><?xml version="1.0" encoding="utf-8"?>
<formControlPr xmlns="http://schemas.microsoft.com/office/spreadsheetml/2009/9/main" objectType="CheckBox" fmlaLink="$Y$28" lockText="1" noThreeD="1"/>
</file>

<file path=xl/ctrlProps/ctrlProp31.xml><?xml version="1.0" encoding="utf-8"?>
<formControlPr xmlns="http://schemas.microsoft.com/office/spreadsheetml/2009/9/main" objectType="CheckBox" fmlaLink="$Y$29" lockText="1" noThreeD="1"/>
</file>

<file path=xl/ctrlProps/ctrlProp32.xml><?xml version="1.0" encoding="utf-8"?>
<formControlPr xmlns="http://schemas.microsoft.com/office/spreadsheetml/2009/9/main" objectType="CheckBox" fmlaLink="$Y$30" lockText="1" noThreeD="1"/>
</file>

<file path=xl/ctrlProps/ctrlProp33.xml><?xml version="1.0" encoding="utf-8"?>
<formControlPr xmlns="http://schemas.microsoft.com/office/spreadsheetml/2009/9/main" objectType="Drop" dropStyle="combo" dx="15" fmlaLink="$P$21" fmlaRange="Служебная!$A$1:$A$2" noThreeD="1" sel="1" val="0"/>
</file>

<file path=xl/ctrlProps/ctrlProp34.xml><?xml version="1.0" encoding="utf-8"?>
<formControlPr xmlns="http://schemas.microsoft.com/office/spreadsheetml/2009/9/main" objectType="Drop" dropStyle="combo" dx="15" fmlaLink="$P$22" fmlaRange="Служебная!$A$1:$A$2" noThreeD="1" sel="1" val="0"/>
</file>

<file path=xl/ctrlProps/ctrlProp35.xml><?xml version="1.0" encoding="utf-8"?>
<formControlPr xmlns="http://schemas.microsoft.com/office/spreadsheetml/2009/9/main" objectType="Drop" dropStyle="combo" dx="15" fmlaLink="$P$23" fmlaRange="Служебная!$A$1:$A$2" noThreeD="1" sel="1" val="0"/>
</file>

<file path=xl/ctrlProps/ctrlProp36.xml><?xml version="1.0" encoding="utf-8"?>
<formControlPr xmlns="http://schemas.microsoft.com/office/spreadsheetml/2009/9/main" objectType="Drop" dropStyle="combo" dx="15" fmlaLink="$P$26" fmlaRange="Служебная!$A$1:$A$2" noThreeD="1" sel="1" val="0"/>
</file>

<file path=xl/ctrlProps/ctrlProp37.xml><?xml version="1.0" encoding="utf-8"?>
<formControlPr xmlns="http://schemas.microsoft.com/office/spreadsheetml/2009/9/main" objectType="Drop" dropStyle="combo" dx="15" fmlaLink="$P$24" fmlaRange="Служебная!$A$1:$A$2" noThreeD="1" sel="1" val="0"/>
</file>

<file path=xl/ctrlProps/ctrlProp38.xml><?xml version="1.0" encoding="utf-8"?>
<formControlPr xmlns="http://schemas.microsoft.com/office/spreadsheetml/2009/9/main" objectType="Drop" dropStyle="combo" dx="15" fmlaLink="$P$25" fmlaRange="Служебная!$A$1:$A$2" noThreeD="1" sel="1" val="0"/>
</file>

<file path=xl/ctrlProps/ctrlProp39.xml><?xml version="1.0" encoding="utf-8"?>
<formControlPr xmlns="http://schemas.microsoft.com/office/spreadsheetml/2009/9/main" objectType="Drop" dropStyle="combo" dx="15" fmlaLink="$P$27" fmlaRange="Служебная!$A$1:$A$2" noThreeD="1" sel="1" val="0"/>
</file>

<file path=xl/ctrlProps/ctrlProp4.xml><?xml version="1.0" encoding="utf-8"?>
<formControlPr xmlns="http://schemas.microsoft.com/office/spreadsheetml/2009/9/main" objectType="CheckBox" fmlaLink="$S$22" lockText="1" noThreeD="1"/>
</file>

<file path=xl/ctrlProps/ctrlProp40.xml><?xml version="1.0" encoding="utf-8"?>
<formControlPr xmlns="http://schemas.microsoft.com/office/spreadsheetml/2009/9/main" objectType="Drop" dropStyle="combo" dx="15" fmlaLink="$P$28" fmlaRange="Служебная!$A$1:$A$2" noThreeD="1" sel="1" val="0"/>
</file>

<file path=xl/ctrlProps/ctrlProp41.xml><?xml version="1.0" encoding="utf-8"?>
<formControlPr xmlns="http://schemas.microsoft.com/office/spreadsheetml/2009/9/main" objectType="Drop" dropStyle="combo" dx="15" fmlaLink="$P$29" fmlaRange="Служебная!$A$1:$A$2" noThreeD="1" sel="1" val="0"/>
</file>

<file path=xl/ctrlProps/ctrlProp42.xml><?xml version="1.0" encoding="utf-8"?>
<formControlPr xmlns="http://schemas.microsoft.com/office/spreadsheetml/2009/9/main" objectType="Drop" dropStyle="combo" dx="15" fmlaLink="$P$30" fmlaRange="Служебная!$A$1:$A$2" noThreeD="1" sel="1" val="0"/>
</file>

<file path=xl/ctrlProps/ctrlProp43.xml><?xml version="1.0" encoding="utf-8"?>
<formControlPr xmlns="http://schemas.microsoft.com/office/spreadsheetml/2009/9/main" objectType="CheckBox" fmlaLink="$M$64" lockText="1" noThreeD="1"/>
</file>

<file path=xl/ctrlProps/ctrlProp44.xml><?xml version="1.0" encoding="utf-8"?>
<formControlPr xmlns="http://schemas.microsoft.com/office/spreadsheetml/2009/9/main" objectType="CheckBox" fmlaLink="$S$59" lockText="1"/>
</file>

<file path=xl/ctrlProps/ctrlProp45.xml><?xml version="1.0" encoding="utf-8"?>
<formControlPr xmlns="http://schemas.microsoft.com/office/spreadsheetml/2009/9/main" objectType="CheckBox" fmlaLink="$S$60" lockText="1"/>
</file>

<file path=xl/ctrlProps/ctrlProp46.xml><?xml version="1.0" encoding="utf-8"?>
<formControlPr xmlns="http://schemas.microsoft.com/office/spreadsheetml/2009/9/main" objectType="CheckBox" fmlaLink="$S$61" lockText="1"/>
</file>

<file path=xl/ctrlProps/ctrlProp47.xml><?xml version="1.0" encoding="utf-8"?>
<formControlPr xmlns="http://schemas.microsoft.com/office/spreadsheetml/2009/9/main" objectType="CheckBox" fmlaLink="$S$62" lockText="1"/>
</file>

<file path=xl/ctrlProps/ctrlProp48.xml><?xml version="1.0" encoding="utf-8"?>
<formControlPr xmlns="http://schemas.microsoft.com/office/spreadsheetml/2009/9/main" objectType="CheckBox" fmlaLink="$S$63" lockText="1"/>
</file>

<file path=xl/ctrlProps/ctrlProp49.xml><?xml version="1.0" encoding="utf-8"?>
<formControlPr xmlns="http://schemas.microsoft.com/office/spreadsheetml/2009/9/main" objectType="CheckBox" fmlaLink="$S$64" lockText="1"/>
</file>

<file path=xl/ctrlProps/ctrlProp5.xml><?xml version="1.0" encoding="utf-8"?>
<formControlPr xmlns="http://schemas.microsoft.com/office/spreadsheetml/2009/9/main" objectType="CheckBox" fmlaLink="$S$23" lockText="1" noThreeD="1"/>
</file>

<file path=xl/ctrlProps/ctrlProp50.xml><?xml version="1.0" encoding="utf-8"?>
<formControlPr xmlns="http://schemas.microsoft.com/office/spreadsheetml/2009/9/main" objectType="CheckBox" fmlaLink="$S$65" lockText="1"/>
</file>

<file path=xl/ctrlProps/ctrlProp51.xml><?xml version="1.0" encoding="utf-8"?>
<formControlPr xmlns="http://schemas.microsoft.com/office/spreadsheetml/2009/9/main" objectType="CheckBox" fmlaLink="$S$66" lockText="1"/>
</file>

<file path=xl/ctrlProps/ctrlProp52.xml><?xml version="1.0" encoding="utf-8"?>
<formControlPr xmlns="http://schemas.microsoft.com/office/spreadsheetml/2009/9/main" objectType="CheckBox" fmlaLink="$S$67" lockText="1"/>
</file>

<file path=xl/ctrlProps/ctrlProp53.xml><?xml version="1.0" encoding="utf-8"?>
<formControlPr xmlns="http://schemas.microsoft.com/office/spreadsheetml/2009/9/main" objectType="CheckBox" fmlaLink="$S$68" lockText="1"/>
</file>

<file path=xl/ctrlProps/ctrlProp54.xml><?xml version="1.0" encoding="utf-8"?>
<formControlPr xmlns="http://schemas.microsoft.com/office/spreadsheetml/2009/9/main" objectType="CheckBox" fmlaLink="$V$59" lockText="1"/>
</file>

<file path=xl/ctrlProps/ctrlProp55.xml><?xml version="1.0" encoding="utf-8"?>
<formControlPr xmlns="http://schemas.microsoft.com/office/spreadsheetml/2009/9/main" objectType="CheckBox" fmlaLink="$V$60" lockText="1"/>
</file>

<file path=xl/ctrlProps/ctrlProp56.xml><?xml version="1.0" encoding="utf-8"?>
<formControlPr xmlns="http://schemas.microsoft.com/office/spreadsheetml/2009/9/main" objectType="CheckBox" fmlaLink="$V$61" lockText="1"/>
</file>

<file path=xl/ctrlProps/ctrlProp57.xml><?xml version="1.0" encoding="utf-8"?>
<formControlPr xmlns="http://schemas.microsoft.com/office/spreadsheetml/2009/9/main" objectType="CheckBox" fmlaLink="$V$62" lockText="1"/>
</file>

<file path=xl/ctrlProps/ctrlProp58.xml><?xml version="1.0" encoding="utf-8"?>
<formControlPr xmlns="http://schemas.microsoft.com/office/spreadsheetml/2009/9/main" objectType="CheckBox" fmlaLink="$V$63" lockText="1"/>
</file>

<file path=xl/ctrlProps/ctrlProp59.xml><?xml version="1.0" encoding="utf-8"?>
<formControlPr xmlns="http://schemas.microsoft.com/office/spreadsheetml/2009/9/main" objectType="CheckBox" fmlaLink="$V$64" lockText="1"/>
</file>

<file path=xl/ctrlProps/ctrlProp6.xml><?xml version="1.0" encoding="utf-8"?>
<formControlPr xmlns="http://schemas.microsoft.com/office/spreadsheetml/2009/9/main" objectType="CheckBox" fmlaLink="$S$24" lockText="1" noThreeD="1"/>
</file>

<file path=xl/ctrlProps/ctrlProp60.xml><?xml version="1.0" encoding="utf-8"?>
<formControlPr xmlns="http://schemas.microsoft.com/office/spreadsheetml/2009/9/main" objectType="CheckBox" fmlaLink="$V$65" lockText="1"/>
</file>

<file path=xl/ctrlProps/ctrlProp61.xml><?xml version="1.0" encoding="utf-8"?>
<formControlPr xmlns="http://schemas.microsoft.com/office/spreadsheetml/2009/9/main" objectType="CheckBox" fmlaLink="$V$66" lockText="1"/>
</file>

<file path=xl/ctrlProps/ctrlProp62.xml><?xml version="1.0" encoding="utf-8"?>
<formControlPr xmlns="http://schemas.microsoft.com/office/spreadsheetml/2009/9/main" objectType="CheckBox" fmlaLink="$V$67" lockText="1"/>
</file>

<file path=xl/ctrlProps/ctrlProp63.xml><?xml version="1.0" encoding="utf-8"?>
<formControlPr xmlns="http://schemas.microsoft.com/office/spreadsheetml/2009/9/main" objectType="CheckBox" fmlaLink="$V$68" lockText="1"/>
</file>

<file path=xl/ctrlProps/ctrlProp64.xml><?xml version="1.0" encoding="utf-8"?>
<formControlPr xmlns="http://schemas.microsoft.com/office/spreadsheetml/2009/9/main" objectType="CheckBox" fmlaLink="$Y$59" lockText="1"/>
</file>

<file path=xl/ctrlProps/ctrlProp65.xml><?xml version="1.0" encoding="utf-8"?>
<formControlPr xmlns="http://schemas.microsoft.com/office/spreadsheetml/2009/9/main" objectType="CheckBox" fmlaLink="$Y$60" lockText="1"/>
</file>

<file path=xl/ctrlProps/ctrlProp66.xml><?xml version="1.0" encoding="utf-8"?>
<formControlPr xmlns="http://schemas.microsoft.com/office/spreadsheetml/2009/9/main" objectType="CheckBox" fmlaLink="$Y$61" lockText="1"/>
</file>

<file path=xl/ctrlProps/ctrlProp67.xml><?xml version="1.0" encoding="utf-8"?>
<formControlPr xmlns="http://schemas.microsoft.com/office/spreadsheetml/2009/9/main" objectType="CheckBox" fmlaLink="$Y$62" lockText="1"/>
</file>

<file path=xl/ctrlProps/ctrlProp68.xml><?xml version="1.0" encoding="utf-8"?>
<formControlPr xmlns="http://schemas.microsoft.com/office/spreadsheetml/2009/9/main" objectType="CheckBox" fmlaLink="$Y$63" lockText="1"/>
</file>

<file path=xl/ctrlProps/ctrlProp69.xml><?xml version="1.0" encoding="utf-8"?>
<formControlPr xmlns="http://schemas.microsoft.com/office/spreadsheetml/2009/9/main" objectType="CheckBox" fmlaLink="$Y$64" lockText="1"/>
</file>

<file path=xl/ctrlProps/ctrlProp7.xml><?xml version="1.0" encoding="utf-8"?>
<formControlPr xmlns="http://schemas.microsoft.com/office/spreadsheetml/2009/9/main" objectType="CheckBox" fmlaLink="$S$25" lockText="1" noThreeD="1"/>
</file>

<file path=xl/ctrlProps/ctrlProp70.xml><?xml version="1.0" encoding="utf-8"?>
<formControlPr xmlns="http://schemas.microsoft.com/office/spreadsheetml/2009/9/main" objectType="CheckBox" fmlaLink="$Y$65" lockText="1"/>
</file>

<file path=xl/ctrlProps/ctrlProp71.xml><?xml version="1.0" encoding="utf-8"?>
<formControlPr xmlns="http://schemas.microsoft.com/office/spreadsheetml/2009/9/main" objectType="CheckBox" fmlaLink="$Y$66" lockText="1"/>
</file>

<file path=xl/ctrlProps/ctrlProp72.xml><?xml version="1.0" encoding="utf-8"?>
<formControlPr xmlns="http://schemas.microsoft.com/office/spreadsheetml/2009/9/main" objectType="CheckBox" fmlaLink="$Y$67" lockText="1"/>
</file>

<file path=xl/ctrlProps/ctrlProp73.xml><?xml version="1.0" encoding="utf-8"?>
<formControlPr xmlns="http://schemas.microsoft.com/office/spreadsheetml/2009/9/main" objectType="CheckBox" fmlaLink="$Y$68" lockText="1"/>
</file>

<file path=xl/ctrlProps/ctrlProp74.xml><?xml version="1.0" encoding="utf-8"?>
<formControlPr xmlns="http://schemas.microsoft.com/office/spreadsheetml/2009/9/main" objectType="CheckBox" fmlaLink="$M$62" lockText="1" noThreeD="1"/>
</file>

<file path=xl/ctrlProps/ctrlProp75.xml><?xml version="1.0" encoding="utf-8"?>
<formControlPr xmlns="http://schemas.microsoft.com/office/spreadsheetml/2009/9/main" objectType="CheckBox" checked="Checked" fmlaLink="$M$82" lockText="1" noThreeD="1"/>
</file>

<file path=xl/ctrlProps/ctrlProp76.xml><?xml version="1.0" encoding="utf-8"?>
<formControlPr xmlns="http://schemas.microsoft.com/office/spreadsheetml/2009/9/main" objectType="CheckBox" fmlaLink="$S$78" lockText="1"/>
</file>

<file path=xl/ctrlProps/ctrlProp77.xml><?xml version="1.0" encoding="utf-8"?>
<formControlPr xmlns="http://schemas.microsoft.com/office/spreadsheetml/2009/9/main" objectType="CheckBox" fmlaLink="$S$79" lockText="1"/>
</file>

<file path=xl/ctrlProps/ctrlProp78.xml><?xml version="1.0" encoding="utf-8"?>
<formControlPr xmlns="http://schemas.microsoft.com/office/spreadsheetml/2009/9/main" objectType="CheckBox" fmlaLink="$S$80" lockText="1"/>
</file>

<file path=xl/ctrlProps/ctrlProp79.xml><?xml version="1.0" encoding="utf-8"?>
<formControlPr xmlns="http://schemas.microsoft.com/office/spreadsheetml/2009/9/main" objectType="CheckBox" fmlaLink="$S$81" lockText="1"/>
</file>

<file path=xl/ctrlProps/ctrlProp8.xml><?xml version="1.0" encoding="utf-8"?>
<formControlPr xmlns="http://schemas.microsoft.com/office/spreadsheetml/2009/9/main" objectType="CheckBox" fmlaLink="$S$26" lockText="1" noThreeD="1"/>
</file>

<file path=xl/ctrlProps/ctrlProp80.xml><?xml version="1.0" encoding="utf-8"?>
<formControlPr xmlns="http://schemas.microsoft.com/office/spreadsheetml/2009/9/main" objectType="CheckBox" fmlaLink="$S$82" lockText="1"/>
</file>

<file path=xl/ctrlProps/ctrlProp81.xml><?xml version="1.0" encoding="utf-8"?>
<formControlPr xmlns="http://schemas.microsoft.com/office/spreadsheetml/2009/9/main" objectType="CheckBox" fmlaLink="$S$83" lockText="1"/>
</file>

<file path=xl/ctrlProps/ctrlProp82.xml><?xml version="1.0" encoding="utf-8"?>
<formControlPr xmlns="http://schemas.microsoft.com/office/spreadsheetml/2009/9/main" objectType="CheckBox" fmlaLink="$S$84" lockText="1"/>
</file>

<file path=xl/ctrlProps/ctrlProp83.xml><?xml version="1.0" encoding="utf-8"?>
<formControlPr xmlns="http://schemas.microsoft.com/office/spreadsheetml/2009/9/main" objectType="CheckBox" fmlaLink="$S$85" lockText="1"/>
</file>

<file path=xl/ctrlProps/ctrlProp84.xml><?xml version="1.0" encoding="utf-8"?>
<formControlPr xmlns="http://schemas.microsoft.com/office/spreadsheetml/2009/9/main" objectType="CheckBox" fmlaLink="$S$86" lockText="1"/>
</file>

<file path=xl/ctrlProps/ctrlProp85.xml><?xml version="1.0" encoding="utf-8"?>
<formControlPr xmlns="http://schemas.microsoft.com/office/spreadsheetml/2009/9/main" objectType="CheckBox" fmlaLink="$S$87" lockText="1"/>
</file>

<file path=xl/ctrlProps/ctrlProp86.xml><?xml version="1.0" encoding="utf-8"?>
<formControlPr xmlns="http://schemas.microsoft.com/office/spreadsheetml/2009/9/main" objectType="CheckBox" fmlaLink="$V$78" lockText="1"/>
</file>

<file path=xl/ctrlProps/ctrlProp87.xml><?xml version="1.0" encoding="utf-8"?>
<formControlPr xmlns="http://schemas.microsoft.com/office/spreadsheetml/2009/9/main" objectType="CheckBox" fmlaLink="$V$79" lockText="1"/>
</file>

<file path=xl/ctrlProps/ctrlProp88.xml><?xml version="1.0" encoding="utf-8"?>
<formControlPr xmlns="http://schemas.microsoft.com/office/spreadsheetml/2009/9/main" objectType="CheckBox" fmlaLink="$V$80" lockText="1"/>
</file>

<file path=xl/ctrlProps/ctrlProp89.xml><?xml version="1.0" encoding="utf-8"?>
<formControlPr xmlns="http://schemas.microsoft.com/office/spreadsheetml/2009/9/main" objectType="CheckBox" fmlaLink="$V$81" lockText="1"/>
</file>

<file path=xl/ctrlProps/ctrlProp9.xml><?xml version="1.0" encoding="utf-8"?>
<formControlPr xmlns="http://schemas.microsoft.com/office/spreadsheetml/2009/9/main" objectType="CheckBox" fmlaLink="$S$27" lockText="1" noThreeD="1"/>
</file>

<file path=xl/ctrlProps/ctrlProp90.xml><?xml version="1.0" encoding="utf-8"?>
<formControlPr xmlns="http://schemas.microsoft.com/office/spreadsheetml/2009/9/main" objectType="CheckBox" fmlaLink="$V$82" lockText="1"/>
</file>

<file path=xl/ctrlProps/ctrlProp91.xml><?xml version="1.0" encoding="utf-8"?>
<formControlPr xmlns="http://schemas.microsoft.com/office/spreadsheetml/2009/9/main" objectType="CheckBox" fmlaLink="$V$83" lockText="1"/>
</file>

<file path=xl/ctrlProps/ctrlProp92.xml><?xml version="1.0" encoding="utf-8"?>
<formControlPr xmlns="http://schemas.microsoft.com/office/spreadsheetml/2009/9/main" objectType="CheckBox" fmlaLink="$V$84" lockText="1"/>
</file>

<file path=xl/ctrlProps/ctrlProp93.xml><?xml version="1.0" encoding="utf-8"?>
<formControlPr xmlns="http://schemas.microsoft.com/office/spreadsheetml/2009/9/main" objectType="CheckBox" fmlaLink="$V$85" lockText="1"/>
</file>

<file path=xl/ctrlProps/ctrlProp94.xml><?xml version="1.0" encoding="utf-8"?>
<formControlPr xmlns="http://schemas.microsoft.com/office/spreadsheetml/2009/9/main" objectType="CheckBox" fmlaLink="$V$86" lockText="1"/>
</file>

<file path=xl/ctrlProps/ctrlProp95.xml><?xml version="1.0" encoding="utf-8"?>
<formControlPr xmlns="http://schemas.microsoft.com/office/spreadsheetml/2009/9/main" objectType="CheckBox" fmlaLink="$V$87" lockText="1"/>
</file>

<file path=xl/ctrlProps/ctrlProp96.xml><?xml version="1.0" encoding="utf-8"?>
<formControlPr xmlns="http://schemas.microsoft.com/office/spreadsheetml/2009/9/main" objectType="CheckBox" fmlaLink="$Y$78" lockText="1"/>
</file>

<file path=xl/ctrlProps/ctrlProp97.xml><?xml version="1.0" encoding="utf-8"?>
<formControlPr xmlns="http://schemas.microsoft.com/office/spreadsheetml/2009/9/main" objectType="CheckBox" fmlaLink="$Y$79" lockText="1"/>
</file>

<file path=xl/ctrlProps/ctrlProp98.xml><?xml version="1.0" encoding="utf-8"?>
<formControlPr xmlns="http://schemas.microsoft.com/office/spreadsheetml/2009/9/main" objectType="CheckBox" fmlaLink="$Y$80" lockText="1"/>
</file>

<file path=xl/ctrlProps/ctrlProp99.xml><?xml version="1.0" encoding="utf-8"?>
<formControlPr xmlns="http://schemas.microsoft.com/office/spreadsheetml/2009/9/main" objectType="CheckBox" fmlaLink="$Y$81" lockText="1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4.xml"/><Relationship Id="rId117" Type="http://schemas.openxmlformats.org/officeDocument/2006/relationships/ctrlProp" Target="../ctrlProps/ctrlProp115.xml"/><Relationship Id="rId21" Type="http://schemas.openxmlformats.org/officeDocument/2006/relationships/ctrlProp" Target="../ctrlProps/ctrlProp19.xml"/><Relationship Id="rId42" Type="http://schemas.openxmlformats.org/officeDocument/2006/relationships/ctrlProp" Target="../ctrlProps/ctrlProp40.xml"/><Relationship Id="rId47" Type="http://schemas.openxmlformats.org/officeDocument/2006/relationships/ctrlProp" Target="../ctrlProps/ctrlProp45.xml"/><Relationship Id="rId63" Type="http://schemas.openxmlformats.org/officeDocument/2006/relationships/ctrlProp" Target="../ctrlProps/ctrlProp61.xml"/><Relationship Id="rId68" Type="http://schemas.openxmlformats.org/officeDocument/2006/relationships/ctrlProp" Target="../ctrlProps/ctrlProp66.xml"/><Relationship Id="rId84" Type="http://schemas.openxmlformats.org/officeDocument/2006/relationships/ctrlProp" Target="../ctrlProps/ctrlProp82.xml"/><Relationship Id="rId89" Type="http://schemas.openxmlformats.org/officeDocument/2006/relationships/ctrlProp" Target="../ctrlProps/ctrlProp87.xml"/><Relationship Id="rId112" Type="http://schemas.openxmlformats.org/officeDocument/2006/relationships/ctrlProp" Target="../ctrlProps/ctrlProp110.xml"/><Relationship Id="rId16" Type="http://schemas.openxmlformats.org/officeDocument/2006/relationships/ctrlProp" Target="../ctrlProps/ctrlProp14.xml"/><Relationship Id="rId107" Type="http://schemas.openxmlformats.org/officeDocument/2006/relationships/ctrlProp" Target="../ctrlProps/ctrlProp105.xml"/><Relationship Id="rId11" Type="http://schemas.openxmlformats.org/officeDocument/2006/relationships/ctrlProp" Target="../ctrlProps/ctrlProp9.xml"/><Relationship Id="rId32" Type="http://schemas.openxmlformats.org/officeDocument/2006/relationships/ctrlProp" Target="../ctrlProps/ctrlProp30.xml"/><Relationship Id="rId37" Type="http://schemas.openxmlformats.org/officeDocument/2006/relationships/ctrlProp" Target="../ctrlProps/ctrlProp35.xml"/><Relationship Id="rId53" Type="http://schemas.openxmlformats.org/officeDocument/2006/relationships/ctrlProp" Target="../ctrlProps/ctrlProp51.xml"/><Relationship Id="rId58" Type="http://schemas.openxmlformats.org/officeDocument/2006/relationships/ctrlProp" Target="../ctrlProps/ctrlProp56.xml"/><Relationship Id="rId74" Type="http://schemas.openxmlformats.org/officeDocument/2006/relationships/ctrlProp" Target="../ctrlProps/ctrlProp72.xml"/><Relationship Id="rId79" Type="http://schemas.openxmlformats.org/officeDocument/2006/relationships/ctrlProp" Target="../ctrlProps/ctrlProp77.xml"/><Relationship Id="rId102" Type="http://schemas.openxmlformats.org/officeDocument/2006/relationships/ctrlProp" Target="../ctrlProps/ctrlProp100.xml"/><Relationship Id="rId24" Type="http://schemas.openxmlformats.org/officeDocument/2006/relationships/ctrlProp" Target="../ctrlProps/ctrlProp22.xml"/><Relationship Id="rId40" Type="http://schemas.openxmlformats.org/officeDocument/2006/relationships/ctrlProp" Target="../ctrlProps/ctrlProp38.xml"/><Relationship Id="rId45" Type="http://schemas.openxmlformats.org/officeDocument/2006/relationships/ctrlProp" Target="../ctrlProps/ctrlProp43.xml"/><Relationship Id="rId66" Type="http://schemas.openxmlformats.org/officeDocument/2006/relationships/ctrlProp" Target="../ctrlProps/ctrlProp64.xml"/><Relationship Id="rId87" Type="http://schemas.openxmlformats.org/officeDocument/2006/relationships/ctrlProp" Target="../ctrlProps/ctrlProp85.xml"/><Relationship Id="rId110" Type="http://schemas.openxmlformats.org/officeDocument/2006/relationships/ctrlProp" Target="../ctrlProps/ctrlProp108.xml"/><Relationship Id="rId115" Type="http://schemas.openxmlformats.org/officeDocument/2006/relationships/ctrlProp" Target="../ctrlProps/ctrlProp113.xml"/><Relationship Id="rId5" Type="http://schemas.openxmlformats.org/officeDocument/2006/relationships/ctrlProp" Target="../ctrlProps/ctrlProp3.xml"/><Relationship Id="rId90" Type="http://schemas.openxmlformats.org/officeDocument/2006/relationships/ctrlProp" Target="../ctrlProps/ctrlProp88.xml"/><Relationship Id="rId95" Type="http://schemas.openxmlformats.org/officeDocument/2006/relationships/ctrlProp" Target="../ctrlProps/ctrlProp93.xml"/><Relationship Id="rId61" Type="http://schemas.openxmlformats.org/officeDocument/2006/relationships/ctrlProp" Target="../ctrlProps/ctrlProp59.xml"/><Relationship Id="rId82" Type="http://schemas.openxmlformats.org/officeDocument/2006/relationships/ctrlProp" Target="../ctrlProps/ctrlProp80.xml"/><Relationship Id="rId19" Type="http://schemas.openxmlformats.org/officeDocument/2006/relationships/ctrlProp" Target="../ctrlProps/ctrlProp17.xml"/><Relationship Id="rId22" Type="http://schemas.openxmlformats.org/officeDocument/2006/relationships/ctrlProp" Target="../ctrlProps/ctrlProp20.xml"/><Relationship Id="rId27" Type="http://schemas.openxmlformats.org/officeDocument/2006/relationships/ctrlProp" Target="../ctrlProps/ctrlProp25.xml"/><Relationship Id="rId43" Type="http://schemas.openxmlformats.org/officeDocument/2006/relationships/ctrlProp" Target="../ctrlProps/ctrlProp41.xml"/><Relationship Id="rId48" Type="http://schemas.openxmlformats.org/officeDocument/2006/relationships/ctrlProp" Target="../ctrlProps/ctrlProp46.xml"/><Relationship Id="rId64" Type="http://schemas.openxmlformats.org/officeDocument/2006/relationships/ctrlProp" Target="../ctrlProps/ctrlProp62.xml"/><Relationship Id="rId69" Type="http://schemas.openxmlformats.org/officeDocument/2006/relationships/ctrlProp" Target="../ctrlProps/ctrlProp67.xml"/><Relationship Id="rId113" Type="http://schemas.openxmlformats.org/officeDocument/2006/relationships/ctrlProp" Target="../ctrlProps/ctrlProp111.xml"/><Relationship Id="rId118" Type="http://schemas.openxmlformats.org/officeDocument/2006/relationships/ctrlProp" Target="../ctrlProps/ctrlProp116.xml"/><Relationship Id="rId14" Type="http://schemas.openxmlformats.org/officeDocument/2006/relationships/ctrlProp" Target="../ctrlProps/ctrlProp12.xml"/><Relationship Id="rId30" Type="http://schemas.openxmlformats.org/officeDocument/2006/relationships/ctrlProp" Target="../ctrlProps/ctrlProp28.xml"/><Relationship Id="rId35" Type="http://schemas.openxmlformats.org/officeDocument/2006/relationships/ctrlProp" Target="../ctrlProps/ctrlProp33.xml"/><Relationship Id="rId56" Type="http://schemas.openxmlformats.org/officeDocument/2006/relationships/ctrlProp" Target="../ctrlProps/ctrlProp54.xml"/><Relationship Id="rId77" Type="http://schemas.openxmlformats.org/officeDocument/2006/relationships/ctrlProp" Target="../ctrlProps/ctrlProp75.xml"/><Relationship Id="rId100" Type="http://schemas.openxmlformats.org/officeDocument/2006/relationships/ctrlProp" Target="../ctrlProps/ctrlProp98.xml"/><Relationship Id="rId105" Type="http://schemas.openxmlformats.org/officeDocument/2006/relationships/ctrlProp" Target="../ctrlProps/ctrlProp103.xml"/><Relationship Id="rId80" Type="http://schemas.openxmlformats.org/officeDocument/2006/relationships/ctrlProp" Target="../ctrlProps/ctrlProp78.xml"/><Relationship Id="rId85" Type="http://schemas.openxmlformats.org/officeDocument/2006/relationships/ctrlProp" Target="../ctrlProps/ctrlProp83.xml"/><Relationship Id="rId8" Type="http://schemas.openxmlformats.org/officeDocument/2006/relationships/ctrlProp" Target="../ctrlProps/ctrlProp6.xml"/><Relationship Id="rId51" Type="http://schemas.openxmlformats.org/officeDocument/2006/relationships/ctrlProp" Target="../ctrlProps/ctrlProp49.xml"/><Relationship Id="rId72" Type="http://schemas.openxmlformats.org/officeDocument/2006/relationships/ctrlProp" Target="../ctrlProps/ctrlProp70.xml"/><Relationship Id="rId93" Type="http://schemas.openxmlformats.org/officeDocument/2006/relationships/ctrlProp" Target="../ctrlProps/ctrlProp91.xml"/><Relationship Id="rId98" Type="http://schemas.openxmlformats.org/officeDocument/2006/relationships/ctrlProp" Target="../ctrlProps/ctrlProp96.xml"/><Relationship Id="rId3" Type="http://schemas.openxmlformats.org/officeDocument/2006/relationships/ctrlProp" Target="../ctrlProps/ctrlProp1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33" Type="http://schemas.openxmlformats.org/officeDocument/2006/relationships/ctrlProp" Target="../ctrlProps/ctrlProp31.xml"/><Relationship Id="rId38" Type="http://schemas.openxmlformats.org/officeDocument/2006/relationships/ctrlProp" Target="../ctrlProps/ctrlProp36.xml"/><Relationship Id="rId59" Type="http://schemas.openxmlformats.org/officeDocument/2006/relationships/ctrlProp" Target="../ctrlProps/ctrlProp57.xml"/><Relationship Id="rId103" Type="http://schemas.openxmlformats.org/officeDocument/2006/relationships/ctrlProp" Target="../ctrlProps/ctrlProp101.xml"/><Relationship Id="rId108" Type="http://schemas.openxmlformats.org/officeDocument/2006/relationships/ctrlProp" Target="../ctrlProps/ctrlProp106.xml"/><Relationship Id="rId25" Type="http://schemas.openxmlformats.org/officeDocument/2006/relationships/ctrlProp" Target="../ctrlProps/ctrlProp23.xml"/><Relationship Id="rId46" Type="http://schemas.openxmlformats.org/officeDocument/2006/relationships/ctrlProp" Target="../ctrlProps/ctrlProp44.xml"/><Relationship Id="rId67" Type="http://schemas.openxmlformats.org/officeDocument/2006/relationships/ctrlProp" Target="../ctrlProps/ctrlProp65.xml"/><Relationship Id="rId116" Type="http://schemas.openxmlformats.org/officeDocument/2006/relationships/ctrlProp" Target="../ctrlProps/ctrlProp114.xml"/><Relationship Id="rId54" Type="http://schemas.openxmlformats.org/officeDocument/2006/relationships/ctrlProp" Target="../ctrlProps/ctrlProp52.xml"/><Relationship Id="rId70" Type="http://schemas.openxmlformats.org/officeDocument/2006/relationships/ctrlProp" Target="../ctrlProps/ctrlProp68.xml"/><Relationship Id="rId75" Type="http://schemas.openxmlformats.org/officeDocument/2006/relationships/ctrlProp" Target="../ctrlProps/ctrlProp73.xml"/><Relationship Id="rId91" Type="http://schemas.openxmlformats.org/officeDocument/2006/relationships/ctrlProp" Target="../ctrlProps/ctrlProp89.xml"/><Relationship Id="rId96" Type="http://schemas.openxmlformats.org/officeDocument/2006/relationships/ctrlProp" Target="../ctrlProps/ctrlProp94.xml"/><Relationship Id="rId20" Type="http://schemas.openxmlformats.org/officeDocument/2006/relationships/ctrlProp" Target="../ctrlProps/ctrlProp18.xml"/><Relationship Id="rId41" Type="http://schemas.openxmlformats.org/officeDocument/2006/relationships/ctrlProp" Target="../ctrlProps/ctrlProp39.xml"/><Relationship Id="rId62" Type="http://schemas.openxmlformats.org/officeDocument/2006/relationships/ctrlProp" Target="../ctrlProps/ctrlProp60.xml"/><Relationship Id="rId83" Type="http://schemas.openxmlformats.org/officeDocument/2006/relationships/ctrlProp" Target="../ctrlProps/ctrlProp81.xml"/><Relationship Id="rId88" Type="http://schemas.openxmlformats.org/officeDocument/2006/relationships/ctrlProp" Target="../ctrlProps/ctrlProp86.xml"/><Relationship Id="rId111" Type="http://schemas.openxmlformats.org/officeDocument/2006/relationships/ctrlProp" Target="../ctrlProps/ctrlProp10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4.xml"/><Relationship Id="rId23" Type="http://schemas.openxmlformats.org/officeDocument/2006/relationships/ctrlProp" Target="../ctrlProps/ctrlProp21.xml"/><Relationship Id="rId28" Type="http://schemas.openxmlformats.org/officeDocument/2006/relationships/ctrlProp" Target="../ctrlProps/ctrlProp26.xml"/><Relationship Id="rId49" Type="http://schemas.openxmlformats.org/officeDocument/2006/relationships/ctrlProp" Target="../ctrlProps/ctrlProp47.xml"/><Relationship Id="rId114" Type="http://schemas.openxmlformats.org/officeDocument/2006/relationships/ctrlProp" Target="../ctrlProps/ctrlProp112.xml"/><Relationship Id="rId15" Type="http://schemas.openxmlformats.org/officeDocument/2006/relationships/ctrlProp" Target="../ctrlProps/ctrlProp13.xml"/><Relationship Id="rId36" Type="http://schemas.openxmlformats.org/officeDocument/2006/relationships/ctrlProp" Target="../ctrlProps/ctrlProp34.xml"/><Relationship Id="rId57" Type="http://schemas.openxmlformats.org/officeDocument/2006/relationships/ctrlProp" Target="../ctrlProps/ctrlProp55.xml"/><Relationship Id="rId106" Type="http://schemas.openxmlformats.org/officeDocument/2006/relationships/ctrlProp" Target="../ctrlProps/ctrlProp104.xml"/><Relationship Id="rId10" Type="http://schemas.openxmlformats.org/officeDocument/2006/relationships/ctrlProp" Target="../ctrlProps/ctrlProp8.xml"/><Relationship Id="rId31" Type="http://schemas.openxmlformats.org/officeDocument/2006/relationships/ctrlProp" Target="../ctrlProps/ctrlProp29.xml"/><Relationship Id="rId44" Type="http://schemas.openxmlformats.org/officeDocument/2006/relationships/ctrlProp" Target="../ctrlProps/ctrlProp42.xml"/><Relationship Id="rId52" Type="http://schemas.openxmlformats.org/officeDocument/2006/relationships/ctrlProp" Target="../ctrlProps/ctrlProp50.xml"/><Relationship Id="rId60" Type="http://schemas.openxmlformats.org/officeDocument/2006/relationships/ctrlProp" Target="../ctrlProps/ctrlProp58.xml"/><Relationship Id="rId65" Type="http://schemas.openxmlformats.org/officeDocument/2006/relationships/ctrlProp" Target="../ctrlProps/ctrlProp63.xml"/><Relationship Id="rId73" Type="http://schemas.openxmlformats.org/officeDocument/2006/relationships/ctrlProp" Target="../ctrlProps/ctrlProp71.xml"/><Relationship Id="rId78" Type="http://schemas.openxmlformats.org/officeDocument/2006/relationships/ctrlProp" Target="../ctrlProps/ctrlProp76.xml"/><Relationship Id="rId81" Type="http://schemas.openxmlformats.org/officeDocument/2006/relationships/ctrlProp" Target="../ctrlProps/ctrlProp79.xml"/><Relationship Id="rId86" Type="http://schemas.openxmlformats.org/officeDocument/2006/relationships/ctrlProp" Target="../ctrlProps/ctrlProp84.xml"/><Relationship Id="rId94" Type="http://schemas.openxmlformats.org/officeDocument/2006/relationships/ctrlProp" Target="../ctrlProps/ctrlProp92.xml"/><Relationship Id="rId99" Type="http://schemas.openxmlformats.org/officeDocument/2006/relationships/ctrlProp" Target="../ctrlProps/ctrlProp97.xml"/><Relationship Id="rId101" Type="http://schemas.openxmlformats.org/officeDocument/2006/relationships/ctrlProp" Target="../ctrlProps/ctrlProp99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39" Type="http://schemas.openxmlformats.org/officeDocument/2006/relationships/ctrlProp" Target="../ctrlProps/ctrlProp37.xml"/><Relationship Id="rId109" Type="http://schemas.openxmlformats.org/officeDocument/2006/relationships/ctrlProp" Target="../ctrlProps/ctrlProp107.xml"/><Relationship Id="rId34" Type="http://schemas.openxmlformats.org/officeDocument/2006/relationships/ctrlProp" Target="../ctrlProps/ctrlProp32.xml"/><Relationship Id="rId50" Type="http://schemas.openxmlformats.org/officeDocument/2006/relationships/ctrlProp" Target="../ctrlProps/ctrlProp48.xml"/><Relationship Id="rId55" Type="http://schemas.openxmlformats.org/officeDocument/2006/relationships/ctrlProp" Target="../ctrlProps/ctrlProp53.xml"/><Relationship Id="rId76" Type="http://schemas.openxmlformats.org/officeDocument/2006/relationships/ctrlProp" Target="../ctrlProps/ctrlProp74.xml"/><Relationship Id="rId97" Type="http://schemas.openxmlformats.org/officeDocument/2006/relationships/ctrlProp" Target="../ctrlProps/ctrlProp95.xml"/><Relationship Id="rId104" Type="http://schemas.openxmlformats.org/officeDocument/2006/relationships/ctrlProp" Target="../ctrlProps/ctrlProp102.xml"/><Relationship Id="rId7" Type="http://schemas.openxmlformats.org/officeDocument/2006/relationships/ctrlProp" Target="../ctrlProps/ctrlProp5.xml"/><Relationship Id="rId71" Type="http://schemas.openxmlformats.org/officeDocument/2006/relationships/ctrlProp" Target="../ctrlProps/ctrlProp69.xml"/><Relationship Id="rId92" Type="http://schemas.openxmlformats.org/officeDocument/2006/relationships/ctrlProp" Target="../ctrlProps/ctrlProp90.xml"/><Relationship Id="rId2" Type="http://schemas.openxmlformats.org/officeDocument/2006/relationships/vmlDrawing" Target="../drawings/vmlDrawing1.vml"/><Relationship Id="rId29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/>
  </sheetPr>
  <dimension ref="A1:AT179"/>
  <sheetViews>
    <sheetView tabSelected="1" zoomScaleNormal="100" workbookViewId="0"/>
  </sheetViews>
  <sheetFormatPr defaultColWidth="8.77734375" defaultRowHeight="14.4"/>
  <cols>
    <col min="1" max="1" width="3.77734375" style="8" customWidth="1"/>
    <col min="2" max="2" width="3.33203125" style="14" customWidth="1"/>
    <col min="3" max="3" width="18.44140625" style="14" customWidth="1"/>
    <col min="4" max="6" width="13.44140625" style="15" customWidth="1"/>
    <col min="7" max="7" width="15.33203125" style="15" customWidth="1"/>
    <col min="8" max="11" width="14.77734375" style="15" customWidth="1"/>
    <col min="12" max="12" width="34.6640625" style="15" customWidth="1"/>
    <col min="13" max="13" width="14.109375" style="15" customWidth="1"/>
    <col min="14" max="14" width="3.44140625" style="14" customWidth="1"/>
    <col min="15" max="15" width="2.6640625" style="14" customWidth="1"/>
    <col min="16" max="16" width="3.44140625" style="14" customWidth="1"/>
    <col min="17" max="17" width="16.44140625" style="14" customWidth="1"/>
    <col min="18" max="18" width="17.6640625" style="14" customWidth="1"/>
    <col min="19" max="19" width="3.44140625" style="14" customWidth="1"/>
    <col min="20" max="20" width="16.44140625" style="14" customWidth="1"/>
    <col min="21" max="21" width="17.6640625" style="14" customWidth="1"/>
    <col min="22" max="22" width="3.44140625" style="14" customWidth="1"/>
    <col min="23" max="23" width="16.44140625" style="14" customWidth="1"/>
    <col min="24" max="24" width="17.6640625" style="14" customWidth="1"/>
    <col min="25" max="25" width="3.44140625" style="14" customWidth="1"/>
    <col min="26" max="26" width="16.44140625" style="14" customWidth="1"/>
    <col min="27" max="27" width="17.6640625" style="14" customWidth="1"/>
    <col min="28" max="28" width="3.6640625" style="14" customWidth="1"/>
    <col min="29" max="29" width="16.44140625" style="14" customWidth="1"/>
    <col min="30" max="30" width="17.6640625" style="14" customWidth="1"/>
    <col min="31" max="31" width="3.6640625" style="14" customWidth="1"/>
    <col min="32" max="32" width="16.44140625" style="14" customWidth="1"/>
    <col min="33" max="33" width="10.109375" style="14" customWidth="1"/>
    <col min="34" max="34" width="17.6640625" style="14" customWidth="1"/>
    <col min="35" max="35" width="3.6640625" style="14" customWidth="1"/>
    <col min="36" max="36" width="16.44140625" style="14" customWidth="1"/>
    <col min="37" max="37" width="10.109375" style="14" customWidth="1"/>
    <col min="38" max="38" width="17.6640625" style="14" customWidth="1"/>
    <col min="39" max="39" width="3.6640625" style="14" customWidth="1"/>
    <col min="40" max="40" width="4" style="16" customWidth="1"/>
    <col min="41" max="41" width="5.44140625" style="17" hidden="1" customWidth="1"/>
    <col min="42" max="42" width="19.109375" style="14" hidden="1" customWidth="1"/>
    <col min="43" max="44" width="20.109375" style="14" hidden="1" customWidth="1"/>
    <col min="45" max="45" width="17.6640625" style="14" hidden="1" customWidth="1"/>
    <col min="46" max="46" width="26.44140625" style="14" hidden="1" customWidth="1"/>
    <col min="47" max="48" width="8.77734375" style="14" customWidth="1"/>
    <col min="49" max="16384" width="8.77734375" style="14"/>
  </cols>
  <sheetData>
    <row r="1" spans="1:42" s="10" customFormat="1" ht="28.8">
      <c r="A1" s="7"/>
      <c r="B1" s="10" t="s">
        <v>71</v>
      </c>
      <c r="D1" s="11"/>
      <c r="E1" s="11"/>
      <c r="F1" s="11"/>
      <c r="G1" s="11"/>
      <c r="H1" s="11"/>
      <c r="I1" s="11"/>
      <c r="J1" s="11"/>
      <c r="K1" s="11"/>
      <c r="L1" s="11"/>
      <c r="M1" s="11"/>
      <c r="AN1" s="12"/>
      <c r="AO1" s="13"/>
    </row>
    <row r="2" spans="1:42" ht="15" thickBot="1"/>
    <row r="3" spans="1:42">
      <c r="B3" s="216"/>
      <c r="C3" s="217" t="s">
        <v>174</v>
      </c>
      <c r="D3" s="45"/>
      <c r="E3" s="45"/>
      <c r="F3" s="45"/>
      <c r="G3" s="45"/>
      <c r="H3" s="44"/>
      <c r="I3" s="44"/>
      <c r="J3" s="44"/>
      <c r="K3" s="44"/>
      <c r="L3" s="44"/>
      <c r="M3" s="44"/>
      <c r="N3" s="46"/>
      <c r="P3" s="216"/>
      <c r="Q3" s="217" t="s">
        <v>182</v>
      </c>
      <c r="R3" s="62"/>
      <c r="S3" s="63"/>
    </row>
    <row r="4" spans="1:42" ht="21">
      <c r="B4" s="47"/>
      <c r="C4" s="48" t="s">
        <v>77</v>
      </c>
      <c r="D4" s="49"/>
      <c r="E4" s="49"/>
      <c r="F4" s="49"/>
      <c r="G4" s="49"/>
      <c r="H4" s="50"/>
      <c r="I4" s="50"/>
      <c r="J4" s="50"/>
      <c r="K4" s="50"/>
      <c r="L4" s="50"/>
      <c r="M4" s="50"/>
      <c r="N4" s="51"/>
      <c r="P4" s="64"/>
      <c r="Q4" s="48" t="s">
        <v>78</v>
      </c>
      <c r="R4" s="65"/>
      <c r="S4" s="66"/>
      <c r="AP4" s="18"/>
    </row>
    <row r="5" spans="1:42" ht="17.399999999999999">
      <c r="B5" s="47"/>
      <c r="C5" s="52" t="s">
        <v>42</v>
      </c>
      <c r="D5" s="49"/>
      <c r="E5" s="49"/>
      <c r="F5" s="49"/>
      <c r="G5" s="49"/>
      <c r="H5" s="50"/>
      <c r="I5" s="50"/>
      <c r="J5" s="50"/>
      <c r="K5" s="50"/>
      <c r="L5" s="50"/>
      <c r="M5" s="50"/>
      <c r="N5" s="51"/>
      <c r="P5" s="64"/>
      <c r="Q5" s="65"/>
      <c r="R5" s="65"/>
      <c r="S5" s="66"/>
    </row>
    <row r="6" spans="1:42" ht="9" customHeight="1">
      <c r="B6" s="47"/>
      <c r="C6" s="50"/>
      <c r="D6" s="49"/>
      <c r="E6" s="49"/>
      <c r="F6" s="49"/>
      <c r="G6" s="49"/>
      <c r="H6" s="50"/>
      <c r="I6" s="50"/>
      <c r="J6" s="50"/>
      <c r="K6" s="50"/>
      <c r="L6" s="50"/>
      <c r="M6" s="50"/>
      <c r="N6" s="51"/>
      <c r="P6" s="64"/>
      <c r="Q6" s="65"/>
      <c r="R6" s="65"/>
      <c r="S6" s="66"/>
    </row>
    <row r="7" spans="1:42" ht="18">
      <c r="A7" s="34">
        <v>2</v>
      </c>
      <c r="B7" s="47"/>
      <c r="C7" s="230"/>
      <c r="D7" s="230"/>
      <c r="E7" s="230"/>
      <c r="F7" s="50"/>
      <c r="G7" s="50"/>
      <c r="H7" s="50"/>
      <c r="I7" s="50"/>
      <c r="J7" s="50"/>
      <c r="K7" s="50"/>
      <c r="L7" s="50"/>
      <c r="M7" s="50"/>
      <c r="N7" s="51"/>
      <c r="P7" s="64"/>
      <c r="Q7" s="67" t="str">
        <f>IF(A7=1,"Услуга не тарифицируется","")</f>
        <v/>
      </c>
      <c r="R7" s="68"/>
      <c r="S7" s="66"/>
      <c r="AP7" s="19"/>
    </row>
    <row r="8" spans="1:42" ht="15.6">
      <c r="B8" s="47"/>
      <c r="C8" s="230"/>
      <c r="D8" s="230"/>
      <c r="E8" s="230"/>
      <c r="F8" s="49"/>
      <c r="G8" s="49"/>
      <c r="H8" s="50"/>
      <c r="I8" s="50"/>
      <c r="J8" s="50"/>
      <c r="K8" s="50"/>
      <c r="L8" s="50"/>
      <c r="M8" s="50"/>
      <c r="N8" s="51"/>
      <c r="P8" s="64"/>
      <c r="Q8" s="65"/>
      <c r="R8" s="65"/>
      <c r="S8" s="66"/>
    </row>
    <row r="9" spans="1:42" ht="16.05" customHeight="1">
      <c r="B9" s="47"/>
      <c r="C9" s="53"/>
      <c r="D9" s="49"/>
      <c r="E9" s="49"/>
      <c r="F9" s="49"/>
      <c r="G9" s="49"/>
      <c r="H9" s="54" t="str">
        <f>IF(A7=1,"","Кол-во мест, шт")</f>
        <v>Кол-во мест, шт</v>
      </c>
      <c r="I9" s="55"/>
      <c r="J9" s="55"/>
      <c r="K9" s="55"/>
      <c r="L9" s="55"/>
      <c r="M9" s="55"/>
      <c r="N9" s="51"/>
      <c r="P9" s="64"/>
      <c r="Q9" s="65"/>
      <c r="R9" s="65"/>
      <c r="S9" s="66"/>
    </row>
    <row r="10" spans="1:42" ht="18">
      <c r="B10" s="47"/>
      <c r="C10" s="52" t="str">
        <f>IF(A7=1,"","Укажите кол-во грузовых мест для выгрузки на склад валом или в коробах")</f>
        <v>Укажите кол-во грузовых мест для выгрузки на склад валом или в коробах</v>
      </c>
      <c r="D10" s="49"/>
      <c r="E10" s="49"/>
      <c r="F10" s="49"/>
      <c r="G10" s="49"/>
      <c r="H10" s="31">
        <v>3</v>
      </c>
      <c r="I10" s="55"/>
      <c r="J10" s="55"/>
      <c r="K10" s="55"/>
      <c r="L10" s="55"/>
      <c r="M10" s="55"/>
      <c r="N10" s="51"/>
      <c r="P10" s="64"/>
      <c r="Q10" s="54" t="str">
        <f>IF(A7=2,"Тариф, руб.","")</f>
        <v>Тариф, руб.</v>
      </c>
      <c r="R10" s="54" t="str">
        <f>IF(A7=2,"Стоимость, руб.","")</f>
        <v>Стоимость, руб.</v>
      </c>
      <c r="S10" s="66"/>
      <c r="AP10" s="19"/>
    </row>
    <row r="11" spans="1:42" ht="18">
      <c r="B11" s="47"/>
      <c r="C11" s="56"/>
      <c r="D11" s="49"/>
      <c r="E11" s="49"/>
      <c r="F11" s="49"/>
      <c r="G11" s="49"/>
      <c r="H11" s="50"/>
      <c r="I11" s="50"/>
      <c r="J11" s="50"/>
      <c r="K11" s="50"/>
      <c r="L11" s="50"/>
      <c r="M11" s="50"/>
      <c r="N11" s="51"/>
      <c r="P11" s="64"/>
      <c r="Q11" s="136">
        <f>IF(A7=2,'Тарифы ФФ'!$J$4,"")</f>
        <v>49.5</v>
      </c>
      <c r="R11" s="136">
        <f>IF(A7=2,Q11*H10,"")</f>
        <v>148.5</v>
      </c>
      <c r="S11" s="66"/>
    </row>
    <row r="12" spans="1:42" ht="18">
      <c r="B12" s="47"/>
      <c r="C12" s="56"/>
      <c r="D12" s="49"/>
      <c r="E12" s="49"/>
      <c r="F12" s="49"/>
      <c r="G12" s="49"/>
      <c r="H12" s="50"/>
      <c r="I12" s="50"/>
      <c r="J12" s="50"/>
      <c r="K12" s="50"/>
      <c r="L12" s="50"/>
      <c r="M12" s="50"/>
      <c r="N12" s="51"/>
      <c r="P12" s="64"/>
      <c r="Q12" s="69" t="str">
        <f>IF(A7=2,"Итого:","")</f>
        <v>Итого:</v>
      </c>
      <c r="R12" s="70">
        <f>IF(A7=2,SUM(R11),"")</f>
        <v>148.5</v>
      </c>
      <c r="S12" s="66"/>
    </row>
    <row r="13" spans="1:42" ht="15" thickBot="1">
      <c r="B13" s="57"/>
      <c r="C13" s="58"/>
      <c r="D13" s="59"/>
      <c r="E13" s="60"/>
      <c r="F13" s="59"/>
      <c r="G13" s="59"/>
      <c r="H13" s="58"/>
      <c r="I13" s="58"/>
      <c r="J13" s="58"/>
      <c r="K13" s="58"/>
      <c r="L13" s="58"/>
      <c r="M13" s="58"/>
      <c r="N13" s="61"/>
      <c r="P13" s="71"/>
      <c r="Q13" s="72"/>
      <c r="R13" s="72"/>
      <c r="S13" s="73"/>
    </row>
    <row r="14" spans="1:42" ht="15" thickBot="1"/>
    <row r="15" spans="1:42">
      <c r="B15" s="216"/>
      <c r="C15" s="217" t="s">
        <v>175</v>
      </c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62"/>
      <c r="O15" s="20"/>
      <c r="P15" s="216"/>
      <c r="Q15" s="217" t="s">
        <v>183</v>
      </c>
      <c r="R15" s="62"/>
      <c r="S15" s="92"/>
      <c r="T15" s="62"/>
      <c r="U15" s="62"/>
      <c r="V15" s="62"/>
      <c r="W15" s="62"/>
      <c r="X15" s="62"/>
      <c r="Y15" s="62"/>
      <c r="Z15" s="62"/>
      <c r="AA15" s="62"/>
      <c r="AB15" s="63"/>
    </row>
    <row r="16" spans="1:42" ht="21">
      <c r="B16" s="64"/>
      <c r="C16" s="76" t="s">
        <v>62</v>
      </c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65"/>
      <c r="O16" s="20"/>
      <c r="P16" s="65"/>
      <c r="Q16" s="76" t="s">
        <v>49</v>
      </c>
      <c r="R16" s="65"/>
      <c r="S16" s="93"/>
      <c r="T16" s="65"/>
      <c r="U16" s="65"/>
      <c r="V16" s="65"/>
      <c r="W16" s="65"/>
      <c r="X16" s="65"/>
      <c r="Y16" s="65"/>
      <c r="Z16" s="65"/>
      <c r="AA16" s="65"/>
      <c r="AB16" s="66"/>
    </row>
    <row r="17" spans="1:46" ht="10.050000000000001" customHeight="1">
      <c r="B17" s="64"/>
      <c r="C17" s="76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65"/>
      <c r="O17" s="20"/>
      <c r="P17" s="65"/>
      <c r="Q17" s="65"/>
      <c r="R17" s="65"/>
      <c r="S17" s="93"/>
      <c r="T17" s="65"/>
      <c r="U17" s="65"/>
      <c r="V17" s="65"/>
      <c r="W17" s="65"/>
      <c r="X17" s="65"/>
      <c r="Y17" s="65"/>
      <c r="Z17" s="65"/>
      <c r="AA17" s="65"/>
      <c r="AB17" s="66"/>
    </row>
    <row r="18" spans="1:46" ht="18">
      <c r="B18" s="64"/>
      <c r="C18" s="78" t="s">
        <v>79</v>
      </c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65"/>
      <c r="O18" s="20"/>
      <c r="P18" s="65"/>
      <c r="Q18" s="222" t="s">
        <v>85</v>
      </c>
      <c r="R18" s="222"/>
      <c r="S18" s="93"/>
      <c r="T18" s="222" t="s">
        <v>84</v>
      </c>
      <c r="U18" s="222"/>
      <c r="V18" s="65"/>
      <c r="W18" s="222" t="s">
        <v>83</v>
      </c>
      <c r="X18" s="222"/>
      <c r="Y18" s="65"/>
      <c r="Z18" s="222" t="s">
        <v>48</v>
      </c>
      <c r="AA18" s="222"/>
      <c r="AB18" s="66"/>
    </row>
    <row r="19" spans="1:46" ht="15" customHeight="1">
      <c r="B19" s="64"/>
      <c r="C19" s="78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65"/>
      <c r="O19" s="20"/>
      <c r="P19" s="65"/>
      <c r="Q19" s="65"/>
      <c r="R19" s="65"/>
      <c r="S19" s="93"/>
      <c r="T19" s="223"/>
      <c r="U19" s="223"/>
      <c r="V19" s="65"/>
      <c r="W19" s="223"/>
      <c r="X19" s="223"/>
      <c r="Y19" s="65"/>
      <c r="Z19" s="65"/>
      <c r="AA19" s="65"/>
      <c r="AB19" s="66"/>
    </row>
    <row r="20" spans="1:46" s="24" customFormat="1" ht="34.950000000000003" customHeight="1">
      <c r="A20" s="9"/>
      <c r="B20" s="79"/>
      <c r="C20" s="80" t="s">
        <v>57</v>
      </c>
      <c r="D20" s="81" t="s">
        <v>20</v>
      </c>
      <c r="E20" s="81" t="s">
        <v>21</v>
      </c>
      <c r="F20" s="81" t="s">
        <v>22</v>
      </c>
      <c r="G20" s="81" t="s">
        <v>43</v>
      </c>
      <c r="H20" s="81" t="s">
        <v>44</v>
      </c>
      <c r="I20" s="81" t="s">
        <v>84</v>
      </c>
      <c r="J20" s="81" t="s">
        <v>83</v>
      </c>
      <c r="K20" s="81" t="s">
        <v>48</v>
      </c>
      <c r="L20" s="81" t="s">
        <v>80</v>
      </c>
      <c r="M20" s="81" t="s">
        <v>86</v>
      </c>
      <c r="N20" s="82"/>
      <c r="O20" s="20"/>
      <c r="P20" s="82"/>
      <c r="Q20" s="88" t="s">
        <v>33</v>
      </c>
      <c r="R20" s="88" t="s">
        <v>45</v>
      </c>
      <c r="S20" s="94"/>
      <c r="T20" s="88" t="s">
        <v>33</v>
      </c>
      <c r="U20" s="88" t="s">
        <v>45</v>
      </c>
      <c r="V20" s="88"/>
      <c r="W20" s="88" t="s">
        <v>33</v>
      </c>
      <c r="X20" s="88" t="s">
        <v>45</v>
      </c>
      <c r="Y20" s="88"/>
      <c r="Z20" s="88" t="s">
        <v>33</v>
      </c>
      <c r="AA20" s="88" t="s">
        <v>45</v>
      </c>
      <c r="AB20" s="99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N20" s="21"/>
      <c r="AO20" s="22"/>
      <c r="AP20" s="23" t="s">
        <v>40</v>
      </c>
      <c r="AQ20" s="23" t="s">
        <v>38</v>
      </c>
      <c r="AR20" s="23" t="s">
        <v>39</v>
      </c>
      <c r="AS20" s="23" t="s">
        <v>46</v>
      </c>
      <c r="AT20" s="23" t="s">
        <v>47</v>
      </c>
    </row>
    <row r="21" spans="1:46" s="24" customFormat="1" ht="21" customHeight="1">
      <c r="A21" s="9"/>
      <c r="B21" s="79"/>
      <c r="C21" s="80" t="s">
        <v>17</v>
      </c>
      <c r="D21" s="32">
        <v>10</v>
      </c>
      <c r="E21" s="32">
        <v>10</v>
      </c>
      <c r="F21" s="32">
        <v>9.99</v>
      </c>
      <c r="G21" s="32">
        <v>0.49</v>
      </c>
      <c r="H21" s="32"/>
      <c r="I21" s="33"/>
      <c r="J21" s="25"/>
      <c r="K21" s="25"/>
      <c r="L21" s="25"/>
      <c r="M21" s="106"/>
      <c r="N21" s="82"/>
      <c r="O21" s="26"/>
      <c r="P21" s="91">
        <v>1</v>
      </c>
      <c r="Q21" s="133" t="str">
        <f>IFERROR(IF(H21&gt;0,IF(AS21=10,"Не обслуживается",IF(P21=2,IF(M21&lt;1,"Нет кол-ва коробов",'Тарифы ФФ'!$J$5),VLOOKUP(AS21,'Тарифы ФФ'!$I$6:$J$14,2,0))),""),"")</f>
        <v/>
      </c>
      <c r="R21" s="133" t="str">
        <f>IFERROR(IF(H21&gt;0,Q21*H21,""),"")</f>
        <v/>
      </c>
      <c r="S21" s="95" t="b">
        <v>0</v>
      </c>
      <c r="T21" s="133" t="str">
        <f>IF(H21&gt;0,IF(AS21=10,"Не обслуживается",IF(AS21=0,"",IF(S21=TRUE,'Тарифы ФФ'!$J$15,""))),"")</f>
        <v/>
      </c>
      <c r="U21" s="133" t="str">
        <f>IFERROR(IF(T21="","",T21*H21),"")</f>
        <v/>
      </c>
      <c r="V21" s="98" t="b">
        <v>0</v>
      </c>
      <c r="W21" s="134" t="str">
        <f>IF(H21&gt;0,IF(AS21=10,"Не обслуживается",IF(AS21=0,"",IF(V21=TRUE,'Тарифы ФФ'!$J$78,""))),"")</f>
        <v/>
      </c>
      <c r="X21" s="133" t="str">
        <f>IFERROR(IF(W21="","",W21*H21),"")</f>
        <v/>
      </c>
      <c r="Y21" s="98" t="b">
        <v>0</v>
      </c>
      <c r="Z21" s="133" t="str">
        <f>IF(H21&gt;0,IF(AS21=10,"Не обслуживается",IF(AS21=0,"",IF(Y21=TRUE,'Тарифы ФФ'!$J$67,""))),"")</f>
        <v/>
      </c>
      <c r="AA21" s="133" t="str">
        <f>IFERROR(IF(Z21="","",Z21*H21),"")</f>
        <v/>
      </c>
      <c r="AB21" s="99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N21" s="21"/>
      <c r="AO21" s="22"/>
      <c r="AP21" s="27">
        <f t="shared" ref="AP21:AP30" si="0">D21+E21+F21</f>
        <v>29.990000000000002</v>
      </c>
      <c r="AQ21" s="27">
        <f t="shared" ref="AQ21:AQ30" si="1">IF(AP21&gt;0,IF(AP21&lt;30,1,IF(AP21&lt;50,2,IF(AP21&lt;80,3,IF(AP21&lt;100,4,IF(AP21&lt;120,5,IF(AP21&lt;150,6,IF(AP21&lt;200.1,7,IF(AP21&lt;270,8,9)))))))),"")</f>
        <v>1</v>
      </c>
      <c r="AR21" s="27">
        <f>IF(G21&gt;0,IF(G21&lt;0.5,1,IF(G21&lt;1.5,2,IF(G21&lt;3,3,IF(G21&lt;5,4,IF(G21&lt;10,5,IF(G21&lt;20,6,IF(G21&lt;25,7,IF(G21&lt;50,8,9)))))))),"")</f>
        <v>1</v>
      </c>
      <c r="AS21" s="27">
        <f>MAX(AQ21:AR21)</f>
        <v>1</v>
      </c>
      <c r="AT21" s="27"/>
    </row>
    <row r="22" spans="1:46" s="24" customFormat="1" ht="21" customHeight="1">
      <c r="A22" s="9"/>
      <c r="B22" s="79"/>
      <c r="C22" s="80" t="s">
        <v>18</v>
      </c>
      <c r="D22" s="32">
        <v>20</v>
      </c>
      <c r="E22" s="32">
        <v>20</v>
      </c>
      <c r="F22" s="32">
        <v>9.99</v>
      </c>
      <c r="G22" s="32">
        <v>1.49</v>
      </c>
      <c r="H22" s="32">
        <v>300</v>
      </c>
      <c r="I22" s="25"/>
      <c r="J22" s="25"/>
      <c r="K22" s="25"/>
      <c r="L22" s="25"/>
      <c r="M22" s="106"/>
      <c r="N22" s="82"/>
      <c r="O22" s="26"/>
      <c r="P22" s="91">
        <v>1</v>
      </c>
      <c r="Q22" s="133">
        <f>IFERROR(IF(H22&gt;0,IF(AS22=10,"Не обслуживается",IF(P22=2,IF(M22&lt;1,"Нет кол-ва коробов",'Тарифы ФФ'!$J$5),VLOOKUP(AS22,'Тарифы ФФ'!$I$6:$J$14,2,0))),""),"")</f>
        <v>11.6</v>
      </c>
      <c r="R22" s="133">
        <f t="shared" ref="R22:R30" si="2">IFERROR(IF(H22&gt;0,Q22*H22,""),"")</f>
        <v>3480</v>
      </c>
      <c r="S22" s="95" t="b">
        <v>0</v>
      </c>
      <c r="T22" s="133" t="str">
        <f>IF(H22&gt;0,IF(AS22=10,"Не обслуживается",IF(AS22=0,"",IF(S22=TRUE,'Тарифы ФФ'!$J$15,""))),"")</f>
        <v/>
      </c>
      <c r="U22" s="133" t="str">
        <f t="shared" ref="U22:U30" si="3">IFERROR(IF(T22="","",T22*H22),"")</f>
        <v/>
      </c>
      <c r="V22" s="98" t="b">
        <v>0</v>
      </c>
      <c r="W22" s="134" t="str">
        <f>IF(H22&gt;0,IF(AS22=10,"Не обслуживается",IF(AS22=0,"",IF(V22=TRUE,'Тарифы ФФ'!$J$78,""))),"")</f>
        <v/>
      </c>
      <c r="X22" s="133" t="str">
        <f t="shared" ref="X22:X30" si="4">IFERROR(IF(W22="","",W22*H22),"")</f>
        <v/>
      </c>
      <c r="Y22" s="98" t="b">
        <v>1</v>
      </c>
      <c r="Z22" s="133">
        <f>IF(H22&gt;0,IF(AS22=10,"Не обслуживается",IF(AS22=0,"",IF(Y22=TRUE,'Тарифы ФФ'!$J$67,""))),"")</f>
        <v>6.6</v>
      </c>
      <c r="AA22" s="133">
        <f t="shared" ref="AA22:AA30" si="5">IFERROR(IF(Z22="","",Z22*H22),"")</f>
        <v>1980</v>
      </c>
      <c r="AB22" s="99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N22" s="21"/>
      <c r="AO22" s="22"/>
      <c r="AP22" s="27">
        <f t="shared" si="0"/>
        <v>49.99</v>
      </c>
      <c r="AQ22" s="27">
        <f t="shared" si="1"/>
        <v>2</v>
      </c>
      <c r="AR22" s="27">
        <f t="shared" ref="AR22:AR30" si="6">IF(G22&gt;0,IF(G22&lt;0.5,1,IF(G22&lt;1.5,2,IF(G22&lt;3,3,IF(G22&lt;5,4,IF(G22&lt;10,5,IF(G22&lt;20,6,IF(G22&lt;25,7,IF(G22&lt;50,8,9)))))))),"")</f>
        <v>2</v>
      </c>
      <c r="AS22" s="27">
        <f t="shared" ref="AS22:AS30" si="7">MAX(AQ22:AR22)</f>
        <v>2</v>
      </c>
      <c r="AT22" s="27"/>
    </row>
    <row r="23" spans="1:46" s="24" customFormat="1" ht="21" customHeight="1">
      <c r="A23" s="9"/>
      <c r="B23" s="79"/>
      <c r="C23" s="80" t="s">
        <v>19</v>
      </c>
      <c r="D23" s="32">
        <v>30</v>
      </c>
      <c r="E23" s="32">
        <v>30</v>
      </c>
      <c r="F23" s="32">
        <v>19.989999999999998</v>
      </c>
      <c r="G23" s="32">
        <v>2.99</v>
      </c>
      <c r="H23" s="32"/>
      <c r="I23" s="25"/>
      <c r="J23" s="25"/>
      <c r="K23" s="25"/>
      <c r="L23" s="25"/>
      <c r="M23" s="106"/>
      <c r="N23" s="82"/>
      <c r="O23" s="26"/>
      <c r="P23" s="91">
        <v>1</v>
      </c>
      <c r="Q23" s="133" t="str">
        <f>IFERROR(IF(H23&gt;0,IF(AS23=10,"Не обслуживается",IF(P23=2,IF(M23&lt;1,"Нет кол-ва коробов",'Тарифы ФФ'!$J$5),VLOOKUP(AS23,'Тарифы ФФ'!$I$6:$J$14,2,0))),""),"")</f>
        <v/>
      </c>
      <c r="R23" s="133" t="str">
        <f t="shared" si="2"/>
        <v/>
      </c>
      <c r="S23" s="95" t="b">
        <v>0</v>
      </c>
      <c r="T23" s="133" t="str">
        <f>IF(H23&gt;0,IF(AS23=10,"Не обслуживается",IF(AS23=0,"",IF(S23=TRUE,'Тарифы ФФ'!$J$15,""))),"")</f>
        <v/>
      </c>
      <c r="U23" s="133" t="str">
        <f t="shared" si="3"/>
        <v/>
      </c>
      <c r="V23" s="98" t="b">
        <v>0</v>
      </c>
      <c r="W23" s="134" t="str">
        <f>IF(H23&gt;0,IF(AS23=10,"Не обслуживается",IF(AS23=0,"",IF(V23=TRUE,'Тарифы ФФ'!$J$78,""))),"")</f>
        <v/>
      </c>
      <c r="X23" s="133" t="str">
        <f t="shared" si="4"/>
        <v/>
      </c>
      <c r="Y23" s="98" t="b">
        <v>0</v>
      </c>
      <c r="Z23" s="133" t="str">
        <f>IF(H23&gt;0,IF(AS23=10,"Не обслуживается",IF(AS23=0,"",IF(Y23=TRUE,'Тарифы ФФ'!$J$67,""))),"")</f>
        <v/>
      </c>
      <c r="AA23" s="133" t="str">
        <f t="shared" si="5"/>
        <v/>
      </c>
      <c r="AB23" s="99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N23" s="21"/>
      <c r="AO23" s="22"/>
      <c r="AP23" s="27">
        <f t="shared" si="0"/>
        <v>79.989999999999995</v>
      </c>
      <c r="AQ23" s="27">
        <f t="shared" si="1"/>
        <v>3</v>
      </c>
      <c r="AR23" s="27">
        <f t="shared" si="6"/>
        <v>3</v>
      </c>
      <c r="AS23" s="27">
        <f t="shared" si="7"/>
        <v>3</v>
      </c>
      <c r="AT23" s="27"/>
    </row>
    <row r="24" spans="1:46" s="24" customFormat="1" ht="21" customHeight="1">
      <c r="A24" s="9"/>
      <c r="B24" s="79"/>
      <c r="C24" s="80" t="s">
        <v>50</v>
      </c>
      <c r="D24" s="32">
        <v>40</v>
      </c>
      <c r="E24" s="32">
        <v>40</v>
      </c>
      <c r="F24" s="32">
        <v>19.989999999999998</v>
      </c>
      <c r="G24" s="32">
        <v>4.99</v>
      </c>
      <c r="H24" s="32"/>
      <c r="I24" s="25"/>
      <c r="J24" s="25"/>
      <c r="K24" s="25"/>
      <c r="L24" s="25"/>
      <c r="M24" s="106"/>
      <c r="N24" s="82"/>
      <c r="O24" s="26"/>
      <c r="P24" s="91">
        <v>1</v>
      </c>
      <c r="Q24" s="133" t="str">
        <f>IFERROR(IF(H24&gt;0,IF(AS24=10,"Не обслуживается",IF(P24=2,IF(M24&lt;1,"Нет кол-ва коробов",'Тарифы ФФ'!$J$5),VLOOKUP(AS24,'Тарифы ФФ'!$I$6:$J$14,2,0))),""),"")</f>
        <v/>
      </c>
      <c r="R24" s="133" t="str">
        <f t="shared" si="2"/>
        <v/>
      </c>
      <c r="S24" s="95" t="b">
        <v>0</v>
      </c>
      <c r="T24" s="133" t="str">
        <f>IF(H24&gt;0,IF(AS24=10,"Не обслуживается",IF(AS24=0,"",IF(S24=TRUE,'Тарифы ФФ'!$J$15,""))),"")</f>
        <v/>
      </c>
      <c r="U24" s="133" t="str">
        <f t="shared" si="3"/>
        <v/>
      </c>
      <c r="V24" s="98" t="b">
        <v>0</v>
      </c>
      <c r="W24" s="134" t="str">
        <f>IF(H24&gt;0,IF(AS24=10,"Не обслуживается",IF(AS24=0,"",IF(V24=TRUE,'Тарифы ФФ'!$J$78,""))),"")</f>
        <v/>
      </c>
      <c r="X24" s="133" t="str">
        <f t="shared" si="4"/>
        <v/>
      </c>
      <c r="Y24" s="98" t="b">
        <v>0</v>
      </c>
      <c r="Z24" s="133" t="str">
        <f>IF(H24&gt;0,IF(AS24=10,"Не обслуживается",IF(AS24=0,"",IF(Y24=TRUE,'Тарифы ФФ'!$J$67,""))),"")</f>
        <v/>
      </c>
      <c r="AA24" s="133" t="str">
        <f t="shared" si="5"/>
        <v/>
      </c>
      <c r="AB24" s="99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N24" s="21"/>
      <c r="AO24" s="22"/>
      <c r="AP24" s="27">
        <f t="shared" si="0"/>
        <v>99.99</v>
      </c>
      <c r="AQ24" s="27">
        <f t="shared" si="1"/>
        <v>4</v>
      </c>
      <c r="AR24" s="27">
        <f t="shared" si="6"/>
        <v>4</v>
      </c>
      <c r="AS24" s="27">
        <f t="shared" si="7"/>
        <v>4</v>
      </c>
      <c r="AT24" s="27"/>
    </row>
    <row r="25" spans="1:46" s="24" customFormat="1" ht="21" customHeight="1">
      <c r="A25" s="9"/>
      <c r="B25" s="79"/>
      <c r="C25" s="80" t="s">
        <v>51</v>
      </c>
      <c r="D25" s="32">
        <v>50</v>
      </c>
      <c r="E25" s="32">
        <v>50</v>
      </c>
      <c r="F25" s="32">
        <v>19.989999999999998</v>
      </c>
      <c r="G25" s="32">
        <v>9.99</v>
      </c>
      <c r="H25" s="32"/>
      <c r="I25" s="25"/>
      <c r="J25" s="25"/>
      <c r="K25" s="25"/>
      <c r="L25" s="25"/>
      <c r="M25" s="106"/>
      <c r="N25" s="82"/>
      <c r="O25" s="26"/>
      <c r="P25" s="91">
        <v>1</v>
      </c>
      <c r="Q25" s="133" t="str">
        <f>IFERROR(IF(H25&gt;0,IF(AS25=10,"Не обслуживается",IF(P25=2,IF(M25&lt;1,"Нет кол-ва коробов",'Тарифы ФФ'!$J$5),VLOOKUP(AS25,'Тарифы ФФ'!$I$6:$J$14,2,0))),""),"")</f>
        <v/>
      </c>
      <c r="R25" s="133" t="str">
        <f t="shared" si="2"/>
        <v/>
      </c>
      <c r="S25" s="95" t="b">
        <v>0</v>
      </c>
      <c r="T25" s="133" t="str">
        <f>IF(H25&gt;0,IF(AS25=10,"Не обслуживается",IF(AS25=0,"",IF(S25=TRUE,'Тарифы ФФ'!$J$15,""))),"")</f>
        <v/>
      </c>
      <c r="U25" s="133" t="str">
        <f t="shared" si="3"/>
        <v/>
      </c>
      <c r="V25" s="98" t="b">
        <v>0</v>
      </c>
      <c r="W25" s="134" t="str">
        <f>IF(H25&gt;0,IF(AS25=10,"Не обслуживается",IF(AS25=0,"",IF(V25=TRUE,'Тарифы ФФ'!$J$78,""))),"")</f>
        <v/>
      </c>
      <c r="X25" s="133" t="str">
        <f t="shared" si="4"/>
        <v/>
      </c>
      <c r="Y25" s="98" t="b">
        <v>0</v>
      </c>
      <c r="Z25" s="133" t="str">
        <f>IF(H25&gt;0,IF(AS25=10,"Не обслуживается",IF(AS25=0,"",IF(Y25=TRUE,'Тарифы ФФ'!$J$67,""))),"")</f>
        <v/>
      </c>
      <c r="AA25" s="133" t="str">
        <f t="shared" si="5"/>
        <v/>
      </c>
      <c r="AB25" s="99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N25" s="21"/>
      <c r="AO25" s="22"/>
      <c r="AP25" s="27">
        <f t="shared" si="0"/>
        <v>119.99</v>
      </c>
      <c r="AQ25" s="27">
        <f t="shared" si="1"/>
        <v>5</v>
      </c>
      <c r="AR25" s="27">
        <f t="shared" si="6"/>
        <v>5</v>
      </c>
      <c r="AS25" s="27">
        <f t="shared" si="7"/>
        <v>5</v>
      </c>
      <c r="AT25" s="27"/>
    </row>
    <row r="26" spans="1:46" s="24" customFormat="1" ht="21" customHeight="1">
      <c r="A26" s="9"/>
      <c r="B26" s="79"/>
      <c r="C26" s="80" t="s">
        <v>52</v>
      </c>
      <c r="D26" s="32">
        <v>50</v>
      </c>
      <c r="E26" s="32">
        <v>50</v>
      </c>
      <c r="F26" s="32">
        <v>49.99</v>
      </c>
      <c r="G26" s="32">
        <v>19.989999999999998</v>
      </c>
      <c r="H26" s="32"/>
      <c r="I26" s="25"/>
      <c r="J26" s="25"/>
      <c r="K26" s="25"/>
      <c r="L26" s="25"/>
      <c r="M26" s="106"/>
      <c r="N26" s="82"/>
      <c r="O26" s="26"/>
      <c r="P26" s="91">
        <v>1</v>
      </c>
      <c r="Q26" s="133" t="str">
        <f>IFERROR(IF(H26&gt;0,IF(AS26=10,"Не обслуживается",IF(P26=2,IF(M26&lt;1,"Нет кол-ва коробов",'Тарифы ФФ'!$J$5),VLOOKUP(AS26,'Тарифы ФФ'!$I$6:$J$14,2,0))),""),"")</f>
        <v/>
      </c>
      <c r="R26" s="133" t="str">
        <f t="shared" si="2"/>
        <v/>
      </c>
      <c r="S26" s="95" t="b">
        <v>0</v>
      </c>
      <c r="T26" s="133" t="str">
        <f>IF(H26&gt;0,IF(AS26=10,"Не обслуживается",IF(AS26=0,"",IF(S26=TRUE,'Тарифы ФФ'!$J$15,""))),"")</f>
        <v/>
      </c>
      <c r="U26" s="133" t="str">
        <f t="shared" si="3"/>
        <v/>
      </c>
      <c r="V26" s="98" t="b">
        <v>0</v>
      </c>
      <c r="W26" s="134" t="str">
        <f>IF(H26&gt;0,IF(AS26=10,"Не обслуживается",IF(AS26=0,"",IF(V26=TRUE,'Тарифы ФФ'!$J$78,""))),"")</f>
        <v/>
      </c>
      <c r="X26" s="133" t="str">
        <f t="shared" si="4"/>
        <v/>
      </c>
      <c r="Y26" s="98" t="b">
        <v>0</v>
      </c>
      <c r="Z26" s="133" t="str">
        <f>IF(H26&gt;0,IF(AS26=10,"Не обслуживается",IF(AS26=0,"",IF(Y26=TRUE,'Тарифы ФФ'!$J$67,""))),"")</f>
        <v/>
      </c>
      <c r="AA26" s="133" t="str">
        <f t="shared" si="5"/>
        <v/>
      </c>
      <c r="AB26" s="99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N26" s="21"/>
      <c r="AO26" s="22"/>
      <c r="AP26" s="27">
        <f t="shared" si="0"/>
        <v>149.99</v>
      </c>
      <c r="AQ26" s="27">
        <f t="shared" si="1"/>
        <v>6</v>
      </c>
      <c r="AR26" s="27">
        <f t="shared" si="6"/>
        <v>6</v>
      </c>
      <c r="AS26" s="27">
        <f t="shared" si="7"/>
        <v>6</v>
      </c>
      <c r="AT26" s="27"/>
    </row>
    <row r="27" spans="1:46" s="24" customFormat="1" ht="21" customHeight="1">
      <c r="A27" s="9"/>
      <c r="B27" s="79"/>
      <c r="C27" s="80" t="s">
        <v>53</v>
      </c>
      <c r="D27" s="32">
        <v>50</v>
      </c>
      <c r="E27" s="32">
        <v>100</v>
      </c>
      <c r="F27" s="32">
        <v>49.99</v>
      </c>
      <c r="G27" s="32">
        <v>24.99</v>
      </c>
      <c r="H27" s="32"/>
      <c r="I27" s="25"/>
      <c r="J27" s="25"/>
      <c r="K27" s="25"/>
      <c r="L27" s="25"/>
      <c r="M27" s="106"/>
      <c r="N27" s="82"/>
      <c r="O27" s="26"/>
      <c r="P27" s="91">
        <v>1</v>
      </c>
      <c r="Q27" s="133" t="str">
        <f>IFERROR(IF(H27&gt;0,IF(AS27=10,"Не обслуживается",IF(P27=2,IF(M27&lt;1,"Нет кол-ва коробов",'Тарифы ФФ'!$J$5),VLOOKUP(AS27,'Тарифы ФФ'!$I$6:$J$14,2,0))),""),"")</f>
        <v/>
      </c>
      <c r="R27" s="133" t="str">
        <f t="shared" si="2"/>
        <v/>
      </c>
      <c r="S27" s="95" t="b">
        <v>0</v>
      </c>
      <c r="T27" s="133" t="str">
        <f>IF(H27&gt;0,IF(AS27=10,"Не обслуживается",IF(AS27=0,"",IF(S27=TRUE,'Тарифы ФФ'!$J$15,""))),"")</f>
        <v/>
      </c>
      <c r="U27" s="133" t="str">
        <f t="shared" si="3"/>
        <v/>
      </c>
      <c r="V27" s="98" t="b">
        <v>0</v>
      </c>
      <c r="W27" s="134" t="str">
        <f>IF(H27&gt;0,IF(AS27=10,"Не обслуживается",IF(AS27=0,"",IF(V27=TRUE,'Тарифы ФФ'!$J$78,""))),"")</f>
        <v/>
      </c>
      <c r="X27" s="133" t="str">
        <f t="shared" si="4"/>
        <v/>
      </c>
      <c r="Y27" s="98" t="b">
        <v>0</v>
      </c>
      <c r="Z27" s="133" t="str">
        <f>IF(H27&gt;0,IF(AS27=10,"Не обслуживается",IF(AS27=0,"",IF(Y27=TRUE,'Тарифы ФФ'!$J$67,""))),"")</f>
        <v/>
      </c>
      <c r="AA27" s="133" t="str">
        <f t="shared" si="5"/>
        <v/>
      </c>
      <c r="AB27" s="99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N27" s="21"/>
      <c r="AO27" s="22"/>
      <c r="AP27" s="27">
        <f t="shared" si="0"/>
        <v>199.99</v>
      </c>
      <c r="AQ27" s="27">
        <f t="shared" si="1"/>
        <v>7</v>
      </c>
      <c r="AR27" s="27">
        <f t="shared" si="6"/>
        <v>7</v>
      </c>
      <c r="AS27" s="27">
        <f t="shared" si="7"/>
        <v>7</v>
      </c>
      <c r="AT27" s="27"/>
    </row>
    <row r="28" spans="1:46" s="24" customFormat="1" ht="21" customHeight="1">
      <c r="A28" s="9"/>
      <c r="B28" s="79"/>
      <c r="C28" s="80" t="s">
        <v>54</v>
      </c>
      <c r="D28" s="32">
        <v>100</v>
      </c>
      <c r="E28" s="32">
        <v>100</v>
      </c>
      <c r="F28" s="32">
        <v>69.989999999999995</v>
      </c>
      <c r="G28" s="32">
        <v>49.99</v>
      </c>
      <c r="H28" s="32"/>
      <c r="I28" s="25"/>
      <c r="J28" s="25"/>
      <c r="K28" s="25"/>
      <c r="L28" s="25"/>
      <c r="M28" s="106"/>
      <c r="N28" s="82"/>
      <c r="O28" s="26"/>
      <c r="P28" s="91">
        <v>1</v>
      </c>
      <c r="Q28" s="133" t="str">
        <f>IFERROR(IF(H28&gt;0,IF(AS28=10,"Не обслуживается",IF(P28=2,IF(M28&lt;1,"Нет кол-ва коробов",'Тарифы ФФ'!$J$5),VLOOKUP(AS28,'Тарифы ФФ'!$I$6:$J$14,2,0))),""),"")</f>
        <v/>
      </c>
      <c r="R28" s="133" t="str">
        <f t="shared" si="2"/>
        <v/>
      </c>
      <c r="S28" s="95" t="b">
        <v>0</v>
      </c>
      <c r="T28" s="133" t="str">
        <f>IF(H28&gt;0,IF(AS28=10,"Не обслуживается",IF(AS28=0,"",IF(S28=TRUE,'Тарифы ФФ'!$J$15,""))),"")</f>
        <v/>
      </c>
      <c r="U28" s="133" t="str">
        <f t="shared" si="3"/>
        <v/>
      </c>
      <c r="V28" s="98" t="b">
        <v>0</v>
      </c>
      <c r="W28" s="134" t="str">
        <f>IF(H28&gt;0,IF(AS28=10,"Не обслуживается",IF(AS28=0,"",IF(V28=TRUE,'Тарифы ФФ'!$J$78,""))),"")</f>
        <v/>
      </c>
      <c r="X28" s="133" t="str">
        <f t="shared" si="4"/>
        <v/>
      </c>
      <c r="Y28" s="98" t="b">
        <v>0</v>
      </c>
      <c r="Z28" s="133" t="str">
        <f>IF(H28&gt;0,IF(AS28=10,"Не обслуживается",IF(AS28=0,"",IF(Y28=TRUE,'Тарифы ФФ'!$J$67,""))),"")</f>
        <v/>
      </c>
      <c r="AA28" s="133" t="str">
        <f t="shared" si="5"/>
        <v/>
      </c>
      <c r="AB28" s="99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N28" s="21"/>
      <c r="AO28" s="22"/>
      <c r="AP28" s="27">
        <f t="shared" si="0"/>
        <v>269.99</v>
      </c>
      <c r="AQ28" s="27">
        <f t="shared" si="1"/>
        <v>8</v>
      </c>
      <c r="AR28" s="27">
        <f t="shared" si="6"/>
        <v>8</v>
      </c>
      <c r="AS28" s="27">
        <f t="shared" si="7"/>
        <v>8</v>
      </c>
      <c r="AT28" s="27"/>
    </row>
    <row r="29" spans="1:46" s="24" customFormat="1" ht="21" customHeight="1">
      <c r="A29" s="9"/>
      <c r="B29" s="79"/>
      <c r="C29" s="80" t="s">
        <v>55</v>
      </c>
      <c r="D29" s="32">
        <v>100</v>
      </c>
      <c r="E29" s="32">
        <v>100</v>
      </c>
      <c r="F29" s="32">
        <v>100</v>
      </c>
      <c r="G29" s="32">
        <v>100</v>
      </c>
      <c r="H29" s="32"/>
      <c r="I29" s="25"/>
      <c r="J29" s="25"/>
      <c r="K29" s="25"/>
      <c r="L29" s="25"/>
      <c r="M29" s="106"/>
      <c r="N29" s="82"/>
      <c r="O29" s="26"/>
      <c r="P29" s="91">
        <v>1</v>
      </c>
      <c r="Q29" s="133" t="str">
        <f>IFERROR(IF(H29&gt;0,IF(AS29=10,"Не обслуживается",IF(P29=2,IF(M29&lt;1,"Нет кол-ва коробов",'Тарифы ФФ'!$J$5),VLOOKUP(AS29,'Тарифы ФФ'!$I$6:$J$14,2,0))),""),"")</f>
        <v/>
      </c>
      <c r="R29" s="133" t="str">
        <f t="shared" si="2"/>
        <v/>
      </c>
      <c r="S29" s="95" t="b">
        <v>0</v>
      </c>
      <c r="T29" s="133" t="str">
        <f>IF(H29&gt;0,IF(AS29=10,"Не обслуживается",IF(AS29=0,"",IF(S29=TRUE,'Тарифы ФФ'!$J$15,""))),"")</f>
        <v/>
      </c>
      <c r="U29" s="133" t="str">
        <f t="shared" si="3"/>
        <v/>
      </c>
      <c r="V29" s="98" t="b">
        <v>0</v>
      </c>
      <c r="W29" s="134" t="str">
        <f>IF(H29&gt;0,IF(AS29=10,"Не обслуживается",IF(AS29=0,"",IF(V29=TRUE,'Тарифы ФФ'!$J$78,""))),"")</f>
        <v/>
      </c>
      <c r="X29" s="133" t="str">
        <f t="shared" si="4"/>
        <v/>
      </c>
      <c r="Y29" s="98" t="b">
        <v>0</v>
      </c>
      <c r="Z29" s="133" t="str">
        <f>IF(H29&gt;0,IF(AS29=10,"Не обслуживается",IF(AS29=0,"",IF(Y29=TRUE,'Тарифы ФФ'!$J$67,""))),"")</f>
        <v/>
      </c>
      <c r="AA29" s="133" t="str">
        <f t="shared" si="5"/>
        <v/>
      </c>
      <c r="AB29" s="99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N29" s="21"/>
      <c r="AO29" s="22"/>
      <c r="AP29" s="27">
        <f t="shared" si="0"/>
        <v>300</v>
      </c>
      <c r="AQ29" s="27">
        <f t="shared" si="1"/>
        <v>9</v>
      </c>
      <c r="AR29" s="27">
        <f t="shared" si="6"/>
        <v>9</v>
      </c>
      <c r="AS29" s="27">
        <f t="shared" si="7"/>
        <v>9</v>
      </c>
      <c r="AT29" s="27"/>
    </row>
    <row r="30" spans="1:46" s="24" customFormat="1" ht="21" customHeight="1">
      <c r="A30" s="9"/>
      <c r="B30" s="79"/>
      <c r="C30" s="80" t="s">
        <v>56</v>
      </c>
      <c r="D30" s="32">
        <v>100</v>
      </c>
      <c r="E30" s="32">
        <v>100</v>
      </c>
      <c r="F30" s="32">
        <v>100</v>
      </c>
      <c r="G30" s="32">
        <v>100</v>
      </c>
      <c r="H30" s="32"/>
      <c r="I30" s="25"/>
      <c r="J30" s="25"/>
      <c r="K30" s="25"/>
      <c r="L30" s="25"/>
      <c r="M30" s="106"/>
      <c r="N30" s="82"/>
      <c r="O30" s="26"/>
      <c r="P30" s="91">
        <v>1</v>
      </c>
      <c r="Q30" s="133" t="str">
        <f>IFERROR(IF(H30&gt;0,IF(AS30=10,"Не обслуживается",IF(P30=2,IF(M30&lt;1,"Нет кол-ва коробов",'Тарифы ФФ'!$J$5),VLOOKUP(AS30,'Тарифы ФФ'!$I$6:$J$14,2,0))),""),"")</f>
        <v/>
      </c>
      <c r="R30" s="133" t="str">
        <f t="shared" si="2"/>
        <v/>
      </c>
      <c r="S30" s="95" t="b">
        <v>0</v>
      </c>
      <c r="T30" s="133" t="str">
        <f>IF(H30&gt;0,IF(AS30=10,"Не обслуживается",IF(AS30=0,"",IF(S30=TRUE,'Тарифы ФФ'!$J$15,""))),"")</f>
        <v/>
      </c>
      <c r="U30" s="133" t="str">
        <f t="shared" si="3"/>
        <v/>
      </c>
      <c r="V30" s="98" t="b">
        <v>0</v>
      </c>
      <c r="W30" s="134" t="str">
        <f>IF(H30&gt;0,IF(AS30=10,"Не обслуживается",IF(AS30=0,"",IF(V30=TRUE,'Тарифы ФФ'!$J$78,""))),"")</f>
        <v/>
      </c>
      <c r="X30" s="133" t="str">
        <f t="shared" si="4"/>
        <v/>
      </c>
      <c r="Y30" s="98" t="b">
        <v>0</v>
      </c>
      <c r="Z30" s="133" t="str">
        <f>IF(H30&gt;0,IF(AS30=10,"Не обслуживается",IF(AS30=0,"",IF(Y30=TRUE,'Тарифы ФФ'!$J$67,""))),"")</f>
        <v/>
      </c>
      <c r="AA30" s="133" t="str">
        <f t="shared" si="5"/>
        <v/>
      </c>
      <c r="AB30" s="99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N30" s="21"/>
      <c r="AO30" s="22"/>
      <c r="AP30" s="27">
        <f t="shared" si="0"/>
        <v>300</v>
      </c>
      <c r="AQ30" s="27">
        <f t="shared" si="1"/>
        <v>9</v>
      </c>
      <c r="AR30" s="27">
        <f t="shared" si="6"/>
        <v>9</v>
      </c>
      <c r="AS30" s="27">
        <f t="shared" si="7"/>
        <v>9</v>
      </c>
      <c r="AT30" s="27"/>
    </row>
    <row r="31" spans="1:46" s="24" customFormat="1" ht="21" customHeight="1">
      <c r="A31" s="9"/>
      <c r="B31" s="79"/>
      <c r="C31" s="82"/>
      <c r="D31" s="84"/>
      <c r="E31" s="84"/>
      <c r="F31" s="84"/>
      <c r="G31" s="84"/>
      <c r="H31" s="85">
        <f>SUM(H21:H30)</f>
        <v>300</v>
      </c>
      <c r="I31" s="85"/>
      <c r="J31" s="85"/>
      <c r="K31" s="85"/>
      <c r="L31" s="85"/>
      <c r="M31" s="85"/>
      <c r="N31" s="82"/>
      <c r="O31" s="26"/>
      <c r="P31" s="82"/>
      <c r="Q31" s="69" t="s">
        <v>61</v>
      </c>
      <c r="R31" s="89">
        <f>SUM(R21:R30)</f>
        <v>3480</v>
      </c>
      <c r="S31" s="96"/>
      <c r="T31" s="69" t="s">
        <v>61</v>
      </c>
      <c r="U31" s="89">
        <f>SUM(U21:U30)</f>
        <v>0</v>
      </c>
      <c r="V31" s="89"/>
      <c r="W31" s="69" t="s">
        <v>61</v>
      </c>
      <c r="X31" s="89">
        <f>SUM(X21:X30)</f>
        <v>0</v>
      </c>
      <c r="Y31" s="89"/>
      <c r="Z31" s="69" t="s">
        <v>61</v>
      </c>
      <c r="AA31" s="89">
        <f>SUM(AA21:AA30)</f>
        <v>1980</v>
      </c>
      <c r="AB31" s="99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N31" s="21"/>
      <c r="AO31" s="22"/>
    </row>
    <row r="32" spans="1:46" ht="15" thickBot="1">
      <c r="B32" s="71"/>
      <c r="C32" s="83"/>
      <c r="D32" s="86"/>
      <c r="E32" s="86"/>
      <c r="F32" s="86"/>
      <c r="G32" s="86"/>
      <c r="H32" s="87"/>
      <c r="I32" s="87"/>
      <c r="J32" s="87"/>
      <c r="K32" s="87"/>
      <c r="L32" s="87"/>
      <c r="M32" s="87"/>
      <c r="N32" s="72"/>
      <c r="O32" s="20"/>
      <c r="P32" s="72"/>
      <c r="Q32" s="72"/>
      <c r="R32" s="90"/>
      <c r="S32" s="97"/>
      <c r="T32" s="90"/>
      <c r="U32" s="90"/>
      <c r="V32" s="90"/>
      <c r="W32" s="90"/>
      <c r="X32" s="90"/>
      <c r="Y32" s="90"/>
      <c r="Z32" s="72"/>
      <c r="AA32" s="90"/>
      <c r="AB32" s="73"/>
    </row>
    <row r="33" spans="2:39" ht="15" thickBot="1">
      <c r="C33" s="28"/>
      <c r="H33" s="29"/>
      <c r="I33" s="29"/>
      <c r="J33" s="29"/>
      <c r="K33" s="29"/>
      <c r="L33" s="29"/>
      <c r="M33" s="29"/>
      <c r="R33" s="30"/>
      <c r="S33" s="30"/>
      <c r="T33" s="30"/>
      <c r="U33" s="30"/>
      <c r="V33" s="30"/>
      <c r="W33" s="30"/>
      <c r="X33" s="30"/>
      <c r="Y33" s="30"/>
      <c r="AA33" s="30"/>
      <c r="AD33" s="30"/>
      <c r="AH33" s="30"/>
      <c r="AL33" s="30"/>
    </row>
    <row r="34" spans="2:39">
      <c r="B34" s="216"/>
      <c r="C34" s="217" t="s">
        <v>176</v>
      </c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63"/>
      <c r="P34" s="216"/>
      <c r="Q34" s="217" t="s">
        <v>184</v>
      </c>
      <c r="R34" s="62"/>
      <c r="S34" s="92"/>
      <c r="T34" s="62"/>
      <c r="U34" s="62"/>
      <c r="V34" s="63"/>
      <c r="W34" s="17"/>
    </row>
    <row r="35" spans="2:39" ht="21">
      <c r="B35" s="64"/>
      <c r="C35" s="76" t="s">
        <v>87</v>
      </c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66"/>
      <c r="P35" s="64"/>
      <c r="Q35" s="76" t="s">
        <v>90</v>
      </c>
      <c r="R35" s="65"/>
      <c r="S35" s="93"/>
      <c r="T35" s="65"/>
      <c r="U35" s="65"/>
      <c r="V35" s="66"/>
      <c r="W35" s="17"/>
    </row>
    <row r="36" spans="2:39" ht="10.050000000000001" customHeight="1">
      <c r="B36" s="64"/>
      <c r="C36" s="76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65"/>
      <c r="O36" s="17"/>
      <c r="P36" s="64"/>
      <c r="Q36" s="65"/>
      <c r="R36" s="65"/>
      <c r="S36" s="93"/>
      <c r="T36" s="65"/>
      <c r="U36" s="65"/>
      <c r="V36" s="66"/>
      <c r="W36" s="17"/>
    </row>
    <row r="37" spans="2:39" ht="18">
      <c r="B37" s="64"/>
      <c r="C37" s="78" t="s">
        <v>104</v>
      </c>
      <c r="D37" s="77"/>
      <c r="E37" s="77"/>
      <c r="F37" s="77"/>
      <c r="G37" s="77"/>
      <c r="H37" s="77"/>
      <c r="I37" s="105"/>
      <c r="J37" s="77"/>
      <c r="K37" s="132"/>
      <c r="L37" s="229" t="str">
        <f>IF(H50&gt;0,IF(K38&gt;0,"Укажите кол-во паллет для хранения",""),"")</f>
        <v/>
      </c>
      <c r="M37" s="229"/>
      <c r="N37" s="66"/>
      <c r="P37" s="64"/>
      <c r="Q37" s="222" t="s">
        <v>91</v>
      </c>
      <c r="R37" s="222"/>
      <c r="S37" s="93"/>
      <c r="T37" s="222" t="s">
        <v>92</v>
      </c>
      <c r="U37" s="222"/>
      <c r="V37" s="66"/>
      <c r="W37" s="119"/>
      <c r="X37" s="120"/>
      <c r="Z37" s="120"/>
      <c r="AA37" s="120"/>
    </row>
    <row r="38" spans="2:39" ht="15" customHeight="1">
      <c r="B38" s="64"/>
      <c r="C38" s="78"/>
      <c r="D38" s="77"/>
      <c r="E38" s="77"/>
      <c r="F38" s="77"/>
      <c r="G38" s="77"/>
      <c r="H38" s="77"/>
      <c r="I38" s="77"/>
      <c r="J38" s="77"/>
      <c r="K38" s="102">
        <f>SUM(K40:K49)</f>
        <v>0</v>
      </c>
      <c r="L38" s="77"/>
      <c r="M38" s="77"/>
      <c r="N38" s="65"/>
      <c r="O38" s="17"/>
      <c r="P38" s="64"/>
      <c r="Q38" s="65"/>
      <c r="R38" s="65"/>
      <c r="S38" s="93"/>
      <c r="T38" s="223"/>
      <c r="U38" s="223"/>
      <c r="V38" s="66"/>
      <c r="W38" s="121"/>
      <c r="X38" s="122"/>
    </row>
    <row r="39" spans="2:39" ht="28.8">
      <c r="B39" s="79"/>
      <c r="C39" s="80" t="s">
        <v>57</v>
      </c>
      <c r="D39" s="81" t="s">
        <v>20</v>
      </c>
      <c r="E39" s="81" t="s">
        <v>21</v>
      </c>
      <c r="F39" s="81" t="s">
        <v>22</v>
      </c>
      <c r="G39" s="81" t="s">
        <v>43</v>
      </c>
      <c r="H39" s="81" t="s">
        <v>44</v>
      </c>
      <c r="I39" s="101"/>
      <c r="J39" s="81" t="s">
        <v>94</v>
      </c>
      <c r="K39" s="103"/>
      <c r="L39" s="81" t="s">
        <v>88</v>
      </c>
      <c r="M39" s="81" t="s">
        <v>89</v>
      </c>
      <c r="N39" s="99"/>
      <c r="P39" s="79"/>
      <c r="Q39" s="88" t="s">
        <v>93</v>
      </c>
      <c r="R39" s="88" t="s">
        <v>45</v>
      </c>
      <c r="S39" s="94"/>
      <c r="T39" s="88" t="s">
        <v>93</v>
      </c>
      <c r="U39" s="88" t="s">
        <v>45</v>
      </c>
      <c r="V39" s="115"/>
      <c r="W39" s="123"/>
      <c r="X39" s="124"/>
      <c r="Y39" s="124"/>
      <c r="Z39" s="124"/>
      <c r="AA39" s="124"/>
      <c r="AB39" s="24"/>
      <c r="AE39" s="24"/>
      <c r="AM39" s="24"/>
    </row>
    <row r="40" spans="2:39">
      <c r="B40" s="79"/>
      <c r="C40" s="80" t="s">
        <v>17</v>
      </c>
      <c r="D40" s="100">
        <f>IF(D21="","",D21)</f>
        <v>10</v>
      </c>
      <c r="E40" s="100">
        <f t="shared" ref="E40:H40" si="8">IF(E21="","",E21)</f>
        <v>10</v>
      </c>
      <c r="F40" s="100">
        <f t="shared" si="8"/>
        <v>9.99</v>
      </c>
      <c r="G40" s="100">
        <f t="shared" si="8"/>
        <v>0.49</v>
      </c>
      <c r="H40" s="100" t="str">
        <f t="shared" si="8"/>
        <v/>
      </c>
      <c r="I40" s="107">
        <f>IF(H40="",0,1)</f>
        <v>0</v>
      </c>
      <c r="J40" s="106"/>
      <c r="K40" s="104">
        <f>IF(L40="Паллетное хранение",1,0)</f>
        <v>0</v>
      </c>
      <c r="L40" s="80" t="str">
        <f>IF(H40="","",IF(AS21=0,"",IF(AS21=10,"Не обслуживается",IF(AS21&gt;5,"Паллетное хранение","Штучное хранение"))))</f>
        <v/>
      </c>
      <c r="M40" s="106"/>
      <c r="N40" s="99"/>
      <c r="P40" s="108"/>
      <c r="Q40" s="133" t="str">
        <f>IF(H40="","",IF(AS21=0,"Нет данных",IF(L40="Не обслуживается","Не обслуживается",IF(L40="Паллетное хранение","",IF(J40&gt;0,VLOOKUP(AS21,'Тарифы ФФ'!$I$57:$J$65,2,0),"Нет кол-ва дней")))))</f>
        <v/>
      </c>
      <c r="R40" s="133" t="str">
        <f>IFERROR(IF(H40&gt;0,Q40*H40*J40,""),"")</f>
        <v/>
      </c>
      <c r="S40" s="96"/>
      <c r="T40" s="133" t="str">
        <f>IF(L40="Паллетное хранение",IF(J40&gt;0,IF(M40&gt;0,IFERROR('Тарифы ФФ'!$J$66,"Ошибка расчета"),"Нет кол-ва паллет"),"Нет кол-ва дней"),"")</f>
        <v/>
      </c>
      <c r="U40" s="133" t="str">
        <f>IFERROR(IF(H40&gt;0,T40*J40*M40,""),"")</f>
        <v/>
      </c>
      <c r="V40" s="116"/>
      <c r="W40" s="125"/>
      <c r="X40" s="126"/>
      <c r="Y40" s="127"/>
      <c r="Z40" s="126"/>
      <c r="AA40" s="126"/>
      <c r="AB40" s="24"/>
      <c r="AE40" s="24"/>
      <c r="AM40" s="24"/>
    </row>
    <row r="41" spans="2:39">
      <c r="B41" s="79"/>
      <c r="C41" s="80" t="s">
        <v>18</v>
      </c>
      <c r="D41" s="100">
        <f t="shared" ref="D41:H41" si="9">IF(D22="","",D22)</f>
        <v>20</v>
      </c>
      <c r="E41" s="100">
        <f t="shared" si="9"/>
        <v>20</v>
      </c>
      <c r="F41" s="100">
        <f t="shared" si="9"/>
        <v>9.99</v>
      </c>
      <c r="G41" s="100">
        <f t="shared" si="9"/>
        <v>1.49</v>
      </c>
      <c r="H41" s="100">
        <f t="shared" si="9"/>
        <v>300</v>
      </c>
      <c r="I41" s="107">
        <f t="shared" ref="I41:I49" si="10">IF(H41="",0,1)</f>
        <v>1</v>
      </c>
      <c r="J41" s="106">
        <v>30</v>
      </c>
      <c r="K41" s="104">
        <f t="shared" ref="K41:K49" si="11">IF(L41="Паллетное хранение",1,0)</f>
        <v>0</v>
      </c>
      <c r="L41" s="80" t="str">
        <f t="shared" ref="L41:L49" si="12">IF(H41="","",IF(AS22=0,"",IF(AS22=10,"Не обслуживается",IF(AS22&gt;5,"Паллетное хранение","Штучное хранение"))))</f>
        <v>Штучное хранение</v>
      </c>
      <c r="M41" s="106"/>
      <c r="N41" s="99"/>
      <c r="P41" s="108"/>
      <c r="Q41" s="133">
        <f>IF(H41="","",IF(AS22=0,"Нет данных",IF(L41="Не обслуживается","Не обслуживается",IF(L41="Паллетное хранение","",IF(J41&gt;0,VLOOKUP(AS22,'Тарифы ФФ'!$I$57:$J$65,2,0),"Нет кол-ва дней")))))</f>
        <v>0.6</v>
      </c>
      <c r="R41" s="133">
        <f t="shared" ref="R41:R49" si="13">IFERROR(IF(H41&gt;0,Q41*H41*J41,""),"")</f>
        <v>5400</v>
      </c>
      <c r="S41" s="96"/>
      <c r="T41" s="133" t="str">
        <f>IF(L41="Паллетное хранение",IF(J41&gt;0,IF(M41&gt;0,IFERROR('Тарифы ФФ'!$J$66,"Ошибка расчета"),"Нет кол-ва паллет"),"Нет кол-ва дней"),"")</f>
        <v/>
      </c>
      <c r="U41" s="133" t="str">
        <f t="shared" ref="U41:U49" si="14">IFERROR(IF(H41&gt;0,T41*J41*M41,""),"")</f>
        <v/>
      </c>
      <c r="V41" s="116"/>
      <c r="W41" s="125"/>
      <c r="X41" s="126"/>
      <c r="Y41" s="127"/>
      <c r="Z41" s="126"/>
      <c r="AA41" s="126"/>
      <c r="AB41" s="24"/>
      <c r="AE41" s="24"/>
      <c r="AM41" s="24"/>
    </row>
    <row r="42" spans="2:39">
      <c r="B42" s="79"/>
      <c r="C42" s="80" t="s">
        <v>19</v>
      </c>
      <c r="D42" s="100">
        <f t="shared" ref="D42:H42" si="15">IF(D23="","",D23)</f>
        <v>30</v>
      </c>
      <c r="E42" s="100">
        <f t="shared" si="15"/>
        <v>30</v>
      </c>
      <c r="F42" s="100">
        <f t="shared" si="15"/>
        <v>19.989999999999998</v>
      </c>
      <c r="G42" s="100">
        <f t="shared" si="15"/>
        <v>2.99</v>
      </c>
      <c r="H42" s="100" t="str">
        <f t="shared" si="15"/>
        <v/>
      </c>
      <c r="I42" s="107">
        <f t="shared" si="10"/>
        <v>0</v>
      </c>
      <c r="J42" s="106"/>
      <c r="K42" s="104">
        <f t="shared" si="11"/>
        <v>0</v>
      </c>
      <c r="L42" s="80" t="str">
        <f t="shared" si="12"/>
        <v/>
      </c>
      <c r="M42" s="106"/>
      <c r="N42" s="99"/>
      <c r="P42" s="108"/>
      <c r="Q42" s="133" t="str">
        <f>IF(H42="","",IF(AS23=0,"Нет данных",IF(L42="Не обслуживается","Не обслуживается",IF(L42="Паллетное хранение","",IF(J42&gt;0,VLOOKUP(AS23,'Тарифы ФФ'!$I$57:$J$65,2,0),"Нет кол-ва дней")))))</f>
        <v/>
      </c>
      <c r="R42" s="133" t="str">
        <f t="shared" si="13"/>
        <v/>
      </c>
      <c r="S42" s="96"/>
      <c r="T42" s="133" t="str">
        <f>IF(L42="Паллетное хранение",IF(J42&gt;0,IF(M42&gt;0,IFERROR('Тарифы ФФ'!$J$66,"Ошибка расчета"),"Нет кол-ва паллет"),"Нет кол-ва дней"),"")</f>
        <v/>
      </c>
      <c r="U42" s="133" t="str">
        <f t="shared" si="14"/>
        <v/>
      </c>
      <c r="V42" s="116"/>
      <c r="W42" s="125"/>
      <c r="X42" s="126"/>
      <c r="Y42" s="127"/>
      <c r="Z42" s="126"/>
      <c r="AA42" s="126"/>
      <c r="AB42" s="24"/>
      <c r="AE42" s="24"/>
      <c r="AM42" s="24"/>
    </row>
    <row r="43" spans="2:39">
      <c r="B43" s="79"/>
      <c r="C43" s="80" t="s">
        <v>50</v>
      </c>
      <c r="D43" s="100">
        <f t="shared" ref="D43:H43" si="16">IF(D24="","",D24)</f>
        <v>40</v>
      </c>
      <c r="E43" s="100">
        <f t="shared" si="16"/>
        <v>40</v>
      </c>
      <c r="F43" s="100">
        <f t="shared" si="16"/>
        <v>19.989999999999998</v>
      </c>
      <c r="G43" s="100">
        <f t="shared" si="16"/>
        <v>4.99</v>
      </c>
      <c r="H43" s="100" t="str">
        <f t="shared" si="16"/>
        <v/>
      </c>
      <c r="I43" s="107">
        <f t="shared" si="10"/>
        <v>0</v>
      </c>
      <c r="J43" s="106"/>
      <c r="K43" s="104">
        <f t="shared" si="11"/>
        <v>0</v>
      </c>
      <c r="L43" s="80" t="str">
        <f t="shared" si="12"/>
        <v/>
      </c>
      <c r="M43" s="106"/>
      <c r="N43" s="99"/>
      <c r="P43" s="108"/>
      <c r="Q43" s="133" t="str">
        <f>IF(H43="","",IF(AS24=0,"Нет данных",IF(L43="Не обслуживается","Не обслуживается",IF(L43="Паллетное хранение","",IF(J43&gt;0,VLOOKUP(AS24,'Тарифы ФФ'!$I$57:$J$65,2,0),"Нет кол-ва дней")))))</f>
        <v/>
      </c>
      <c r="R43" s="133" t="str">
        <f t="shared" si="13"/>
        <v/>
      </c>
      <c r="S43" s="96"/>
      <c r="T43" s="133" t="str">
        <f>IF(L43="Паллетное хранение",IF(J43&gt;0,IF(M43&gt;0,IFERROR('Тарифы ФФ'!$J$66,"Ошибка расчета"),"Нет кол-ва паллет"),"Нет кол-ва дней"),"")</f>
        <v/>
      </c>
      <c r="U43" s="133" t="str">
        <f t="shared" si="14"/>
        <v/>
      </c>
      <c r="V43" s="116"/>
      <c r="W43" s="125"/>
      <c r="X43" s="126"/>
      <c r="Y43" s="127"/>
      <c r="Z43" s="126"/>
      <c r="AA43" s="126"/>
      <c r="AB43" s="24"/>
      <c r="AE43" s="24"/>
      <c r="AM43" s="24"/>
    </row>
    <row r="44" spans="2:39">
      <c r="B44" s="79"/>
      <c r="C44" s="80" t="s">
        <v>51</v>
      </c>
      <c r="D44" s="100">
        <f t="shared" ref="D44:H44" si="17">IF(D25="","",D25)</f>
        <v>50</v>
      </c>
      <c r="E44" s="100">
        <f t="shared" si="17"/>
        <v>50</v>
      </c>
      <c r="F44" s="100">
        <f t="shared" si="17"/>
        <v>19.989999999999998</v>
      </c>
      <c r="G44" s="100">
        <f t="shared" si="17"/>
        <v>9.99</v>
      </c>
      <c r="H44" s="100" t="str">
        <f t="shared" si="17"/>
        <v/>
      </c>
      <c r="I44" s="107">
        <f t="shared" si="10"/>
        <v>0</v>
      </c>
      <c r="J44" s="106"/>
      <c r="K44" s="104">
        <f t="shared" si="11"/>
        <v>0</v>
      </c>
      <c r="L44" s="80" t="str">
        <f t="shared" si="12"/>
        <v/>
      </c>
      <c r="M44" s="106"/>
      <c r="N44" s="99"/>
      <c r="P44" s="108"/>
      <c r="Q44" s="133" t="str">
        <f>IF(H44="","",IF(AS25=0,"Нет данных",IF(L44="Не обслуживается","Не обслуживается",IF(L44="Паллетное хранение","",IF(J44&gt;0,VLOOKUP(AS25,'Тарифы ФФ'!$I$57:$J$65,2,0),"Нет кол-ва дней")))))</f>
        <v/>
      </c>
      <c r="R44" s="133" t="str">
        <f t="shared" si="13"/>
        <v/>
      </c>
      <c r="S44" s="96"/>
      <c r="T44" s="133" t="str">
        <f>IF(L44="Паллетное хранение",IF(J44&gt;0,IF(M44&gt;0,IFERROR('Тарифы ФФ'!$J$66,"Ошибка расчета"),"Нет кол-ва паллет"),"Нет кол-ва дней"),"")</f>
        <v/>
      </c>
      <c r="U44" s="133" t="str">
        <f t="shared" si="14"/>
        <v/>
      </c>
      <c r="V44" s="116"/>
      <c r="W44" s="125"/>
      <c r="X44" s="126"/>
      <c r="Y44" s="127"/>
      <c r="Z44" s="126"/>
      <c r="AA44" s="126"/>
      <c r="AB44" s="24"/>
      <c r="AE44" s="24"/>
      <c r="AM44" s="24"/>
    </row>
    <row r="45" spans="2:39">
      <c r="B45" s="79"/>
      <c r="C45" s="80" t="s">
        <v>52</v>
      </c>
      <c r="D45" s="100">
        <f t="shared" ref="D45:G45" si="18">IF(D26="","",D26)</f>
        <v>50</v>
      </c>
      <c r="E45" s="100">
        <f t="shared" si="18"/>
        <v>50</v>
      </c>
      <c r="F45" s="100">
        <f t="shared" si="18"/>
        <v>49.99</v>
      </c>
      <c r="G45" s="100">
        <f t="shared" si="18"/>
        <v>19.989999999999998</v>
      </c>
      <c r="H45" s="100" t="str">
        <f t="shared" ref="H45" si="19">IF(H26="","",H26)</f>
        <v/>
      </c>
      <c r="I45" s="107">
        <f t="shared" si="10"/>
        <v>0</v>
      </c>
      <c r="J45" s="106"/>
      <c r="K45" s="104">
        <f t="shared" si="11"/>
        <v>0</v>
      </c>
      <c r="L45" s="80" t="str">
        <f t="shared" si="12"/>
        <v/>
      </c>
      <c r="M45" s="106"/>
      <c r="N45" s="99"/>
      <c r="P45" s="108"/>
      <c r="Q45" s="133" t="str">
        <f>IF(H45="","",IF(AS26=0,"Нет данных",IF(L45="Не обслуживается","Не обслуживается",IF(L45="Паллетное хранение","",IF(J45&gt;0,VLOOKUP(AS26,'Тарифы ФФ'!$I$57:$J$65,2,0),"Нет кол-ва дней")))))</f>
        <v/>
      </c>
      <c r="R45" s="133" t="str">
        <f t="shared" si="13"/>
        <v/>
      </c>
      <c r="S45" s="96"/>
      <c r="T45" s="133" t="str">
        <f>IF(L45="Паллетное хранение",IF(J45&gt;0,IF(M45&gt;0,IFERROR('Тарифы ФФ'!$J$66,"Ошибка расчета"),"Нет кол-ва паллет"),"Нет кол-ва дней"),"")</f>
        <v/>
      </c>
      <c r="U45" s="133" t="str">
        <f t="shared" si="14"/>
        <v/>
      </c>
      <c r="V45" s="116"/>
      <c r="W45" s="125"/>
      <c r="X45" s="126"/>
      <c r="Y45" s="127"/>
      <c r="Z45" s="126"/>
      <c r="AA45" s="126"/>
      <c r="AB45" s="24"/>
      <c r="AE45" s="24"/>
      <c r="AM45" s="24"/>
    </row>
    <row r="46" spans="2:39">
      <c r="B46" s="79"/>
      <c r="C46" s="80" t="s">
        <v>53</v>
      </c>
      <c r="D46" s="100">
        <f t="shared" ref="D46:G46" si="20">IF(D27="","",D27)</f>
        <v>50</v>
      </c>
      <c r="E46" s="100">
        <f t="shared" si="20"/>
        <v>100</v>
      </c>
      <c r="F46" s="100">
        <f t="shared" si="20"/>
        <v>49.99</v>
      </c>
      <c r="G46" s="100">
        <f t="shared" si="20"/>
        <v>24.99</v>
      </c>
      <c r="H46" s="100" t="str">
        <f t="shared" ref="H46" si="21">IF(H27="","",H27)</f>
        <v/>
      </c>
      <c r="I46" s="107">
        <f t="shared" si="10"/>
        <v>0</v>
      </c>
      <c r="J46" s="106"/>
      <c r="K46" s="104">
        <f t="shared" si="11"/>
        <v>0</v>
      </c>
      <c r="L46" s="80" t="str">
        <f t="shared" si="12"/>
        <v/>
      </c>
      <c r="M46" s="106"/>
      <c r="N46" s="99"/>
      <c r="P46" s="108"/>
      <c r="Q46" s="133" t="str">
        <f>IF(H46="","",IF(AS27=0,"Нет данных",IF(L46="Не обслуживается","Не обслуживается",IF(L46="Паллетное хранение","",IF(J46&gt;0,VLOOKUP(AS27,'Тарифы ФФ'!$I$57:$J$65,2,0),"Нет кол-ва дней")))))</f>
        <v/>
      </c>
      <c r="R46" s="133" t="str">
        <f t="shared" si="13"/>
        <v/>
      </c>
      <c r="S46" s="96"/>
      <c r="T46" s="133" t="str">
        <f>IF(L46="Паллетное хранение",IF(J46&gt;0,IF(M46&gt;0,IFERROR('Тарифы ФФ'!$J$66,"Ошибка расчета"),"Нет кол-ва паллет"),"Нет кол-ва дней"),"")</f>
        <v/>
      </c>
      <c r="U46" s="133" t="str">
        <f t="shared" si="14"/>
        <v/>
      </c>
      <c r="V46" s="116"/>
      <c r="W46" s="125"/>
      <c r="X46" s="126"/>
      <c r="Y46" s="127"/>
      <c r="Z46" s="126"/>
      <c r="AA46" s="126"/>
      <c r="AB46" s="24"/>
      <c r="AE46" s="24"/>
      <c r="AM46" s="24"/>
    </row>
    <row r="47" spans="2:39">
      <c r="B47" s="79"/>
      <c r="C47" s="80" t="s">
        <v>54</v>
      </c>
      <c r="D47" s="100">
        <f t="shared" ref="D47:H47" si="22">IF(D28="","",D28)</f>
        <v>100</v>
      </c>
      <c r="E47" s="100">
        <f t="shared" si="22"/>
        <v>100</v>
      </c>
      <c r="F47" s="100">
        <f t="shared" si="22"/>
        <v>69.989999999999995</v>
      </c>
      <c r="G47" s="100">
        <f t="shared" si="22"/>
        <v>49.99</v>
      </c>
      <c r="H47" s="100" t="str">
        <f t="shared" si="22"/>
        <v/>
      </c>
      <c r="I47" s="107">
        <f t="shared" si="10"/>
        <v>0</v>
      </c>
      <c r="J47" s="106"/>
      <c r="K47" s="104">
        <f t="shared" si="11"/>
        <v>0</v>
      </c>
      <c r="L47" s="80" t="str">
        <f t="shared" si="12"/>
        <v/>
      </c>
      <c r="M47" s="106"/>
      <c r="N47" s="99"/>
      <c r="P47" s="108"/>
      <c r="Q47" s="133" t="str">
        <f>IF(H47="","",IF(AS28=0,"Нет данных",IF(L47="Не обслуживается","Не обслуживается",IF(L47="Паллетное хранение","",IF(J47&gt;0,VLOOKUP(AS28,'Тарифы ФФ'!$I$57:$J$65,2,0),"Нет кол-ва дней")))))</f>
        <v/>
      </c>
      <c r="R47" s="133" t="str">
        <f t="shared" si="13"/>
        <v/>
      </c>
      <c r="S47" s="96"/>
      <c r="T47" s="133" t="str">
        <f>IF(L47="Паллетное хранение",IF(J47&gt;0,IF(M47&gt;0,IFERROR('Тарифы ФФ'!$J$66,"Ошибка расчета"),"Нет кол-ва паллет"),"Нет кол-ва дней"),"")</f>
        <v/>
      </c>
      <c r="U47" s="133" t="str">
        <f t="shared" si="14"/>
        <v/>
      </c>
      <c r="V47" s="116"/>
      <c r="W47" s="125"/>
      <c r="X47" s="126"/>
      <c r="Y47" s="127"/>
      <c r="Z47" s="126"/>
      <c r="AA47" s="126"/>
      <c r="AB47" s="24"/>
      <c r="AE47" s="24"/>
      <c r="AM47" s="24"/>
    </row>
    <row r="48" spans="2:39">
      <c r="B48" s="79"/>
      <c r="C48" s="80" t="s">
        <v>55</v>
      </c>
      <c r="D48" s="100">
        <f t="shared" ref="D48:H48" si="23">IF(D29="","",D29)</f>
        <v>100</v>
      </c>
      <c r="E48" s="100">
        <f t="shared" si="23"/>
        <v>100</v>
      </c>
      <c r="F48" s="100">
        <f t="shared" si="23"/>
        <v>100</v>
      </c>
      <c r="G48" s="100">
        <f t="shared" si="23"/>
        <v>100</v>
      </c>
      <c r="H48" s="100" t="str">
        <f t="shared" si="23"/>
        <v/>
      </c>
      <c r="I48" s="107">
        <f t="shared" si="10"/>
        <v>0</v>
      </c>
      <c r="J48" s="106"/>
      <c r="K48" s="104">
        <f t="shared" si="11"/>
        <v>0</v>
      </c>
      <c r="L48" s="80" t="str">
        <f t="shared" si="12"/>
        <v/>
      </c>
      <c r="M48" s="106"/>
      <c r="N48" s="99"/>
      <c r="P48" s="108"/>
      <c r="Q48" s="133" t="str">
        <f>IF(H48="","",IF(AS29=0,"Нет данных",IF(L48="Не обслуживается","Не обслуживается",IF(L48="Паллетное хранение","",IF(J48&gt;0,VLOOKUP(AS29,'Тарифы ФФ'!$I$57:$J$65,2,0),"Нет кол-ва дней")))))</f>
        <v/>
      </c>
      <c r="R48" s="133" t="str">
        <f t="shared" si="13"/>
        <v/>
      </c>
      <c r="S48" s="96"/>
      <c r="T48" s="133" t="str">
        <f>IF(L48="Паллетное хранение",IF(J48&gt;0,IF(M48&gt;0,IFERROR('Тарифы ФФ'!$J$66,"Ошибка расчета"),"Нет кол-ва паллет"),"Нет кол-ва дней"),"")</f>
        <v/>
      </c>
      <c r="U48" s="133" t="str">
        <f t="shared" si="14"/>
        <v/>
      </c>
      <c r="V48" s="116"/>
      <c r="W48" s="125"/>
      <c r="X48" s="126"/>
      <c r="Y48" s="127"/>
      <c r="Z48" s="126"/>
      <c r="AA48" s="126"/>
      <c r="AB48" s="24"/>
      <c r="AE48" s="24"/>
      <c r="AM48" s="24"/>
    </row>
    <row r="49" spans="2:39">
      <c r="B49" s="79"/>
      <c r="C49" s="80" t="s">
        <v>56</v>
      </c>
      <c r="D49" s="100">
        <f t="shared" ref="D49:H49" si="24">IF(D30="","",D30)</f>
        <v>100</v>
      </c>
      <c r="E49" s="100">
        <f t="shared" si="24"/>
        <v>100</v>
      </c>
      <c r="F49" s="100">
        <f t="shared" si="24"/>
        <v>100</v>
      </c>
      <c r="G49" s="100">
        <f t="shared" si="24"/>
        <v>100</v>
      </c>
      <c r="H49" s="100" t="str">
        <f t="shared" si="24"/>
        <v/>
      </c>
      <c r="I49" s="107">
        <f t="shared" si="10"/>
        <v>0</v>
      </c>
      <c r="J49" s="106"/>
      <c r="K49" s="104">
        <f t="shared" si="11"/>
        <v>0</v>
      </c>
      <c r="L49" s="80" t="str">
        <f t="shared" si="12"/>
        <v/>
      </c>
      <c r="M49" s="106"/>
      <c r="N49" s="99"/>
      <c r="P49" s="108"/>
      <c r="Q49" s="133" t="str">
        <f>IF(H49="","",IF(AS30=0,"Нет данных",IF(L49="Не обслуживается","Не обслуживается",IF(L49="Паллетное хранение","",IF(J49&gt;0,VLOOKUP(AS30,'Тарифы ФФ'!$I$57:$J$65,2,0),"Нет кол-ва дней")))))</f>
        <v/>
      </c>
      <c r="R49" s="133" t="str">
        <f t="shared" si="13"/>
        <v/>
      </c>
      <c r="S49" s="96"/>
      <c r="T49" s="133" t="str">
        <f>IF(L49="Паллетное хранение",IF(J49&gt;0,IF(M49&gt;0,IFERROR('Тарифы ФФ'!$J$66,"Ошибка расчета"),"Нет кол-ва паллет"),"Нет кол-ва дней"),"")</f>
        <v/>
      </c>
      <c r="U49" s="133" t="str">
        <f t="shared" si="14"/>
        <v/>
      </c>
      <c r="V49" s="116"/>
      <c r="W49" s="125"/>
      <c r="X49" s="126"/>
      <c r="Y49" s="127"/>
      <c r="Z49" s="126"/>
      <c r="AA49" s="126"/>
      <c r="AB49" s="24"/>
      <c r="AE49" s="24"/>
      <c r="AM49" s="24"/>
    </row>
    <row r="50" spans="2:39" ht="18" customHeight="1">
      <c r="B50" s="79"/>
      <c r="C50" s="82"/>
      <c r="D50" s="84"/>
      <c r="E50" s="84"/>
      <c r="F50" s="84"/>
      <c r="G50" s="84"/>
      <c r="H50" s="85">
        <f>SUM(H40:H49)</f>
        <v>300</v>
      </c>
      <c r="I50" s="85"/>
      <c r="J50" s="85"/>
      <c r="K50" s="85"/>
      <c r="L50" s="85"/>
      <c r="M50" s="85"/>
      <c r="N50" s="99"/>
      <c r="P50" s="79"/>
      <c r="Q50" s="69" t="s">
        <v>61</v>
      </c>
      <c r="R50" s="89">
        <f>SUM(R40:R49)</f>
        <v>5400</v>
      </c>
      <c r="S50" s="96"/>
      <c r="T50" s="69" t="s">
        <v>61</v>
      </c>
      <c r="U50" s="89">
        <f>SUM(U40:U49)</f>
        <v>0</v>
      </c>
      <c r="V50" s="117"/>
      <c r="W50" s="128"/>
      <c r="X50" s="30"/>
      <c r="Y50" s="30"/>
      <c r="Z50" s="129"/>
      <c r="AA50" s="30"/>
      <c r="AB50" s="24"/>
      <c r="AE50" s="24"/>
      <c r="AM50" s="24"/>
    </row>
    <row r="51" spans="2:39" ht="15" thickBot="1">
      <c r="B51" s="71"/>
      <c r="C51" s="83"/>
      <c r="D51" s="86"/>
      <c r="E51" s="86"/>
      <c r="F51" s="86"/>
      <c r="G51" s="86"/>
      <c r="H51" s="87"/>
      <c r="I51" s="87"/>
      <c r="J51" s="87"/>
      <c r="K51" s="87"/>
      <c r="L51" s="87"/>
      <c r="M51" s="87"/>
      <c r="N51" s="73"/>
      <c r="P51" s="71"/>
      <c r="Q51" s="72"/>
      <c r="R51" s="90"/>
      <c r="S51" s="97"/>
      <c r="T51" s="90"/>
      <c r="U51" s="90"/>
      <c r="V51" s="118"/>
      <c r="W51" s="130"/>
      <c r="X51" s="30"/>
      <c r="Y51" s="30"/>
      <c r="AA51" s="30"/>
    </row>
    <row r="52" spans="2:39" ht="15" thickBot="1"/>
    <row r="53" spans="2:39">
      <c r="B53" s="216"/>
      <c r="C53" s="217" t="s">
        <v>177</v>
      </c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3"/>
      <c r="P53" s="216"/>
      <c r="Q53" s="217" t="s">
        <v>185</v>
      </c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3"/>
    </row>
    <row r="54" spans="2:39" ht="21">
      <c r="B54" s="64"/>
      <c r="C54" s="76" t="s">
        <v>111</v>
      </c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6"/>
      <c r="P54" s="64"/>
      <c r="Q54" s="76" t="s">
        <v>113</v>
      </c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6"/>
    </row>
    <row r="55" spans="2:39" ht="10.050000000000001" customHeight="1">
      <c r="B55" s="64"/>
      <c r="C55" s="76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65"/>
      <c r="O55" s="17"/>
      <c r="P55" s="64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6"/>
    </row>
    <row r="56" spans="2:39" ht="18">
      <c r="B56" s="64"/>
      <c r="C56" s="78" t="s">
        <v>98</v>
      </c>
      <c r="D56" s="65"/>
      <c r="E56" s="65"/>
      <c r="F56" s="65"/>
      <c r="G56" s="65"/>
      <c r="H56" s="65"/>
      <c r="I56" s="65"/>
      <c r="J56" s="65"/>
      <c r="K56" s="65"/>
      <c r="L56" s="226" t="s">
        <v>96</v>
      </c>
      <c r="M56" s="226"/>
      <c r="N56" s="66"/>
      <c r="P56" s="64"/>
      <c r="Q56" s="222" t="s">
        <v>99</v>
      </c>
      <c r="R56" s="222"/>
      <c r="S56" s="65"/>
      <c r="T56" s="222" t="s">
        <v>58</v>
      </c>
      <c r="U56" s="222"/>
      <c r="V56" s="65"/>
      <c r="W56" s="222" t="s">
        <v>48</v>
      </c>
      <c r="X56" s="222"/>
      <c r="Y56" s="65"/>
      <c r="Z56" s="222" t="s">
        <v>59</v>
      </c>
      <c r="AA56" s="222"/>
      <c r="AB56" s="65"/>
      <c r="AC56" s="222" t="s">
        <v>105</v>
      </c>
      <c r="AD56" s="222"/>
      <c r="AE56" s="65"/>
      <c r="AF56" s="222" t="s">
        <v>100</v>
      </c>
      <c r="AG56" s="222"/>
      <c r="AH56" s="222"/>
      <c r="AI56" s="65"/>
      <c r="AJ56" s="222" t="s">
        <v>16</v>
      </c>
      <c r="AK56" s="222"/>
      <c r="AL56" s="222"/>
      <c r="AM56" s="66"/>
    </row>
    <row r="57" spans="2:39">
      <c r="B57" s="64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6"/>
      <c r="P57" s="64"/>
      <c r="Q57" s="65"/>
      <c r="R57" s="65"/>
      <c r="S57" s="65"/>
      <c r="T57" s="223"/>
      <c r="U57" s="223"/>
      <c r="V57" s="65"/>
      <c r="W57" s="223"/>
      <c r="X57" s="223"/>
      <c r="Y57" s="65"/>
      <c r="Z57" s="65"/>
      <c r="AA57" s="65"/>
      <c r="AB57" s="65"/>
      <c r="AC57" s="65"/>
      <c r="AD57" s="65"/>
      <c r="AE57" s="65"/>
      <c r="AF57" s="65"/>
      <c r="AG57" s="77" t="s">
        <v>106</v>
      </c>
      <c r="AH57" s="65"/>
      <c r="AI57" s="65"/>
      <c r="AJ57" s="65"/>
      <c r="AK57" s="65"/>
      <c r="AL57" s="65"/>
      <c r="AM57" s="66"/>
    </row>
    <row r="58" spans="2:39" ht="28.8">
      <c r="B58" s="108" t="s">
        <v>169</v>
      </c>
      <c r="C58" s="80" t="s">
        <v>57</v>
      </c>
      <c r="D58" s="81" t="s">
        <v>20</v>
      </c>
      <c r="E58" s="81" t="s">
        <v>21</v>
      </c>
      <c r="F58" s="81" t="s">
        <v>22</v>
      </c>
      <c r="G58" s="81" t="s">
        <v>43</v>
      </c>
      <c r="H58" s="81" t="s">
        <v>95</v>
      </c>
      <c r="I58" s="81" t="s">
        <v>58</v>
      </c>
      <c r="J58" s="81" t="s">
        <v>48</v>
      </c>
      <c r="K58" s="81" t="s">
        <v>59</v>
      </c>
      <c r="L58" s="220" t="s">
        <v>103</v>
      </c>
      <c r="M58" s="221"/>
      <c r="N58" s="99"/>
      <c r="P58" s="79"/>
      <c r="Q58" s="88" t="s">
        <v>33</v>
      </c>
      <c r="R58" s="88" t="s">
        <v>45</v>
      </c>
      <c r="S58" s="88"/>
      <c r="T58" s="88" t="s">
        <v>33</v>
      </c>
      <c r="U58" s="88" t="s">
        <v>45</v>
      </c>
      <c r="V58" s="88"/>
      <c r="W58" s="88" t="s">
        <v>33</v>
      </c>
      <c r="X58" s="88" t="s">
        <v>45</v>
      </c>
      <c r="Y58" s="88"/>
      <c r="Z58" s="88" t="s">
        <v>33</v>
      </c>
      <c r="AA58" s="88" t="s">
        <v>45</v>
      </c>
      <c r="AB58" s="88"/>
      <c r="AC58" s="88" t="s">
        <v>33</v>
      </c>
      <c r="AD58" s="88" t="s">
        <v>45</v>
      </c>
      <c r="AE58" s="88"/>
      <c r="AF58" s="88" t="s">
        <v>33</v>
      </c>
      <c r="AG58" s="88" t="s">
        <v>101</v>
      </c>
      <c r="AH58" s="88" t="s">
        <v>45</v>
      </c>
      <c r="AI58" s="88"/>
      <c r="AJ58" s="88" t="s">
        <v>33</v>
      </c>
      <c r="AK58" s="88" t="s">
        <v>101</v>
      </c>
      <c r="AL58" s="88" t="s">
        <v>45</v>
      </c>
      <c r="AM58" s="99"/>
    </row>
    <row r="59" spans="2:39" ht="21" customHeight="1">
      <c r="B59" s="108">
        <f>AS21</f>
        <v>1</v>
      </c>
      <c r="C59" s="80" t="s">
        <v>17</v>
      </c>
      <c r="D59" s="100">
        <f>IF(D40="","",D40)</f>
        <v>10</v>
      </c>
      <c r="E59" s="100">
        <f t="shared" ref="E59:G59" si="25">IF(E40="","",E40)</f>
        <v>10</v>
      </c>
      <c r="F59" s="100">
        <f t="shared" si="25"/>
        <v>9.99</v>
      </c>
      <c r="G59" s="100">
        <f t="shared" si="25"/>
        <v>0.49</v>
      </c>
      <c r="H59" s="106"/>
      <c r="I59" s="112"/>
      <c r="J59" s="112"/>
      <c r="K59" s="112"/>
      <c r="L59" s="109" t="s">
        <v>97</v>
      </c>
      <c r="M59" s="111">
        <v>1</v>
      </c>
      <c r="N59" s="99"/>
      <c r="P59" s="79"/>
      <c r="Q59" s="133" t="str">
        <f>IF(H59&gt;0,IF(AS21=0,"Нет данных",IF(AS21=10,"Не обслуживается",VLOOKUP(AS21,'Тарифы ФФ'!$I$16:$J$24,2,0))),"")</f>
        <v/>
      </c>
      <c r="R59" s="133" t="str">
        <f>IFERROR(IF(H59&gt;0,Q59*H59,""),"")</f>
        <v/>
      </c>
      <c r="S59" s="95" t="b">
        <v>0</v>
      </c>
      <c r="T59" s="134" t="str">
        <f>IF(S59=TRUE,IF(Q59="","",IF(Q59="Не обслуживается","Не обслуживается",IF(Q59="Нет данных","Нет данных",'Тарифы ФФ'!$J$77))),"")</f>
        <v/>
      </c>
      <c r="U59" s="133" t="str">
        <f>IFERROR(IF(T59="","",T59*H59),"")</f>
        <v/>
      </c>
      <c r="V59" s="98" t="b">
        <v>0</v>
      </c>
      <c r="W59" s="134" t="str">
        <f>IF(V59=TRUE,IF(Q59="","",IF(Q59="Не обслуживается","Не обслуживается",IF(Q59="Нет данных","Нет данных",'Тарифы ФФ'!$J$67))),"")</f>
        <v/>
      </c>
      <c r="X59" s="133" t="str">
        <f>IFERROR(IF(W59="","",W59*H59),"")</f>
        <v/>
      </c>
      <c r="Y59" s="98" t="b">
        <v>0</v>
      </c>
      <c r="Z59" s="134" t="str">
        <f>IF(Y59=TRUE,IF(Q59="","",IF(Q59="Не обслуживается","Не обслуживается",IF(Q59="Нет данных","Нет данных",VLOOKUP(AS21,'Тарифы ФФ'!$I$81:$J$89,2,0)))),"")</f>
        <v/>
      </c>
      <c r="AA59" s="133" t="str">
        <f>IFERROR(IF(Z59="","",Z59*H59),"")</f>
        <v/>
      </c>
      <c r="AB59" s="98" t="b">
        <f t="shared" ref="AB59:AB68" si="26">$M$62</f>
        <v>0</v>
      </c>
      <c r="AC59" s="134" t="str">
        <f>IF(AB59=TRUE,IF(Q59="","",IF(Q59="Не обслуживается","Не обслуживается",IF(Q59="Нет данных","Нет данных",'Тарифы ФФ'!$J$79))),"")</f>
        <v/>
      </c>
      <c r="AD59" s="133" t="str">
        <f>IFERROR(IF(AC59="","",AC59*H59),"")</f>
        <v/>
      </c>
      <c r="AE59" s="168" t="b">
        <f>IF(M60+M66&gt;0,TRUE,FALSE)</f>
        <v>1</v>
      </c>
      <c r="AF59" s="134" t="str">
        <f>IF(AE59=TRUE,IF(Q59="","",IF(Q59="Не обслуживается","Не обслуживается",IF(Q59="Нет данных","Нет данных",'Тарифы ФФ'!$J$25))),"")</f>
        <v/>
      </c>
      <c r="AG59" s="135" t="str">
        <f>IF(AF59="","",M60+M66-AG60)</f>
        <v/>
      </c>
      <c r="AH59" s="133" t="str">
        <f>IFERROR(IF(AG59="","",AF59*AG59),"")</f>
        <v/>
      </c>
      <c r="AI59" s="168" t="b">
        <f>IF(M64=TRUE,TRUE,FALSE)</f>
        <v>0</v>
      </c>
      <c r="AJ59" s="134" t="str">
        <f>IF(AI59=TRUE,IF(Q59="","",IF(Q59="Не обслуживается","Не обслуживается",IF(Q59="Нет данных","Нет данных",'Тарифы ФФ'!$J$80))),"")</f>
        <v/>
      </c>
      <c r="AK59" s="135" t="str">
        <f>IF(AI59=TRUE,M66+M67,"")</f>
        <v/>
      </c>
      <c r="AL59" s="133" t="str">
        <f>IFERROR(IF(AK59="","",AJ59*AK59),"")</f>
        <v/>
      </c>
      <c r="AM59" s="99"/>
    </row>
    <row r="60" spans="2:39" ht="21" customHeight="1">
      <c r="B60" s="108">
        <f t="shared" ref="B60:B68" si="27">AS22</f>
        <v>2</v>
      </c>
      <c r="C60" s="80" t="s">
        <v>18</v>
      </c>
      <c r="D60" s="100">
        <f t="shared" ref="D60:G60" si="28">IF(D41="","",D41)</f>
        <v>20</v>
      </c>
      <c r="E60" s="100">
        <f t="shared" si="28"/>
        <v>20</v>
      </c>
      <c r="F60" s="100">
        <f t="shared" si="28"/>
        <v>9.99</v>
      </c>
      <c r="G60" s="100">
        <f t="shared" si="28"/>
        <v>1.49</v>
      </c>
      <c r="H60" s="106">
        <v>200</v>
      </c>
      <c r="I60" s="112"/>
      <c r="J60" s="112"/>
      <c r="K60" s="112"/>
      <c r="L60" s="137" t="s">
        <v>102</v>
      </c>
      <c r="M60" s="138">
        <f>IFERROR(IF(H69&gt;0,H69/M59,"0"),H69)</f>
        <v>200</v>
      </c>
      <c r="N60" s="99"/>
      <c r="P60" s="79"/>
      <c r="Q60" s="133">
        <f>IF(H60&gt;0,IF(AS22=0,"Нет данных",IF(AS22=10,"Не обслуживается",VLOOKUP(AS22,'Тарифы ФФ'!$I$16:$J$24,2,0))),"")</f>
        <v>13.9</v>
      </c>
      <c r="R60" s="133">
        <f t="shared" ref="R60:R68" si="29">IFERROR(IF(H60&gt;0,Q60*H60,""),"")</f>
        <v>2780</v>
      </c>
      <c r="S60" s="95" t="b">
        <v>0</v>
      </c>
      <c r="T60" s="134" t="str">
        <f>IF(S60=TRUE,IF(Q60="","",IF(Q60="Не обслуживается","Не обслуживается",IF(Q60="Нет данных","Нет данных",'Тарифы ФФ'!$J$77))),"")</f>
        <v/>
      </c>
      <c r="U60" s="133" t="str">
        <f t="shared" ref="U60:U68" si="30">IFERROR(IF(T60="","",T60*H60),"")</f>
        <v/>
      </c>
      <c r="V60" s="98" t="b">
        <v>0</v>
      </c>
      <c r="W60" s="134" t="str">
        <f>IF(V60=TRUE,IF(Q60="","",IF(Q60="Не обслуживается","Не обслуживается",IF(Q60="Нет данных","Нет данных",'Тарифы ФФ'!$J$67))),"")</f>
        <v/>
      </c>
      <c r="X60" s="133" t="str">
        <f t="shared" ref="X60:X68" si="31">IFERROR(IF(W60="","",W60*H60),"")</f>
        <v/>
      </c>
      <c r="Y60" s="98" t="b">
        <v>1</v>
      </c>
      <c r="Z60" s="134">
        <f>IF(Y60=TRUE,IF(Q60="","",IF(Q60="Не обслуживается","Не обслуживается",IF(Q60="Нет данных","Нет данных",VLOOKUP(AS22,'Тарифы ФФ'!$I$81:$J$89,2,0)))),"")</f>
        <v>20</v>
      </c>
      <c r="AA60" s="133">
        <f t="shared" ref="AA60:AA68" si="32">IFERROR(IF(Z60="","",Z60*H60),"")</f>
        <v>4000</v>
      </c>
      <c r="AB60" s="98" t="b">
        <f t="shared" si="26"/>
        <v>0</v>
      </c>
      <c r="AC60" s="134" t="str">
        <f>IF(AB60=TRUE,IF(Q60="","",IF(Q60="Не обслуживается","Не обслуживается",IF(Q60="Нет данных","Нет данных",'Тарифы ФФ'!$J$79))),"")</f>
        <v/>
      </c>
      <c r="AD60" s="133" t="str">
        <f t="shared" ref="AD60:AD68" si="33">IFERROR(IF(AC60="","",AC60*H60),"")</f>
        <v/>
      </c>
      <c r="AE60" s="168" t="b">
        <f>IF(M60+M66&gt;0,TRUE,FALSE)</f>
        <v>1</v>
      </c>
      <c r="AF60" s="134" t="str">
        <f>IF(AE59=TRUE,IF(Q59="","",IF(Q59="Не обслуживается","Не обслуживается",IF(Q59="Нет данных","Нет данных",'Тарифы ФФ'!$J$26))),"")</f>
        <v/>
      </c>
      <c r="AG60" s="135">
        <f>IFERROR(SUMIF(B59:B68,"&gt;7",H59:H68)/M59,"")</f>
        <v>0</v>
      </c>
      <c r="AH60" s="133" t="str">
        <f>IFERROR(IF(AG60="","",AF60*AG60),"")</f>
        <v/>
      </c>
      <c r="AI60" s="114"/>
      <c r="AJ60" s="69" t="s">
        <v>61</v>
      </c>
      <c r="AK60" s="69"/>
      <c r="AL60" s="89">
        <f>SUM(AL59)</f>
        <v>0</v>
      </c>
      <c r="AM60" s="99"/>
    </row>
    <row r="61" spans="2:39" ht="21" customHeight="1">
      <c r="B61" s="108">
        <f t="shared" si="27"/>
        <v>3</v>
      </c>
      <c r="C61" s="80" t="s">
        <v>19</v>
      </c>
      <c r="D61" s="100">
        <f t="shared" ref="D61:G61" si="34">IF(D42="","",D42)</f>
        <v>30</v>
      </c>
      <c r="E61" s="100">
        <f t="shared" si="34"/>
        <v>30</v>
      </c>
      <c r="F61" s="100">
        <f t="shared" si="34"/>
        <v>19.989999999999998</v>
      </c>
      <c r="G61" s="100">
        <f t="shared" si="34"/>
        <v>2.99</v>
      </c>
      <c r="H61" s="106"/>
      <c r="I61" s="112"/>
      <c r="J61" s="112"/>
      <c r="K61" s="112"/>
      <c r="L61" s="77"/>
      <c r="M61" s="77"/>
      <c r="N61" s="99"/>
      <c r="P61" s="79"/>
      <c r="Q61" s="133" t="str">
        <f>IF(H61&gt;0,IF(AS23=0,"Нет данных",IF(AS23=10,"Не обслуживается",VLOOKUP(AS23,'Тарифы ФФ'!$I$16:$J$24,2,0))),"")</f>
        <v/>
      </c>
      <c r="R61" s="133" t="str">
        <f t="shared" si="29"/>
        <v/>
      </c>
      <c r="S61" s="95" t="b">
        <v>0</v>
      </c>
      <c r="T61" s="134" t="str">
        <f>IF(S61=TRUE,IF(Q61="","",IF(Q61="Не обслуживается","Не обслуживается",IF(Q61="Нет данных","Нет данных",'Тарифы ФФ'!$J$77))),"")</f>
        <v/>
      </c>
      <c r="U61" s="133" t="str">
        <f t="shared" si="30"/>
        <v/>
      </c>
      <c r="V61" s="98" t="b">
        <v>0</v>
      </c>
      <c r="W61" s="134" t="str">
        <f>IF(V61=TRUE,IF(Q61="","",IF(Q61="Не обслуживается","Не обслуживается",IF(Q61="Нет данных","Нет данных",'Тарифы ФФ'!$J$67))),"")</f>
        <v/>
      </c>
      <c r="X61" s="133" t="str">
        <f t="shared" si="31"/>
        <v/>
      </c>
      <c r="Y61" s="98" t="b">
        <v>0</v>
      </c>
      <c r="Z61" s="134" t="str">
        <f>IF(Y61=TRUE,IF(Q61="","",IF(Q61="Не обслуживается","Не обслуживается",IF(Q61="Нет данных","Нет данных",VLOOKUP(AS23,'Тарифы ФФ'!$I$81:$J$89,2,0)))),"")</f>
        <v/>
      </c>
      <c r="AA61" s="133" t="str">
        <f t="shared" si="32"/>
        <v/>
      </c>
      <c r="AB61" s="98" t="b">
        <f t="shared" si="26"/>
        <v>0</v>
      </c>
      <c r="AC61" s="134" t="str">
        <f>IF(AB61=TRUE,IF(Q61="","",IF(Q61="Не обслуживается","Не обслуживается",IF(Q61="Нет данных","Нет данных",'Тарифы ФФ'!$J$79))),"")</f>
        <v/>
      </c>
      <c r="AD61" s="133" t="str">
        <f t="shared" si="33"/>
        <v/>
      </c>
      <c r="AE61" s="114"/>
      <c r="AF61" s="69" t="s">
        <v>61</v>
      </c>
      <c r="AG61" s="69"/>
      <c r="AH61" s="89">
        <f>SUM(AH59:AH60)</f>
        <v>0</v>
      </c>
      <c r="AI61" s="114"/>
      <c r="AJ61" s="113"/>
      <c r="AK61" s="113"/>
      <c r="AL61" s="113"/>
      <c r="AM61" s="99"/>
    </row>
    <row r="62" spans="2:39" ht="21" customHeight="1">
      <c r="B62" s="108">
        <f t="shared" si="27"/>
        <v>4</v>
      </c>
      <c r="C62" s="80" t="s">
        <v>50</v>
      </c>
      <c r="D62" s="100">
        <f t="shared" ref="D62:G62" si="35">IF(D43="","",D43)</f>
        <v>40</v>
      </c>
      <c r="E62" s="100">
        <f t="shared" si="35"/>
        <v>40</v>
      </c>
      <c r="F62" s="100">
        <f t="shared" si="35"/>
        <v>19.989999999999998</v>
      </c>
      <c r="G62" s="100">
        <f t="shared" si="35"/>
        <v>4.99</v>
      </c>
      <c r="H62" s="106"/>
      <c r="I62" s="112"/>
      <c r="J62" s="112"/>
      <c r="K62" s="112"/>
      <c r="L62" s="82"/>
      <c r="M62" s="110" t="b">
        <v>0</v>
      </c>
      <c r="N62" s="99"/>
      <c r="P62" s="79"/>
      <c r="Q62" s="133" t="str">
        <f>IF(H62&gt;0,IF(AS24=0,"Нет данных",IF(AS24=10,"Не обслуживается",VLOOKUP(AS24,'Тарифы ФФ'!$I$16:$J$24,2,0))),"")</f>
        <v/>
      </c>
      <c r="R62" s="133" t="str">
        <f t="shared" si="29"/>
        <v/>
      </c>
      <c r="S62" s="95" t="b">
        <v>0</v>
      </c>
      <c r="T62" s="134" t="str">
        <f>IF(S62=TRUE,IF(Q62="","",IF(Q62="Не обслуживается","Не обслуживается",IF(Q62="Нет данных","Нет данных",'Тарифы ФФ'!$J$77))),"")</f>
        <v/>
      </c>
      <c r="U62" s="133" t="str">
        <f t="shared" si="30"/>
        <v/>
      </c>
      <c r="V62" s="98" t="b">
        <v>0</v>
      </c>
      <c r="W62" s="134" t="str">
        <f>IF(V62=TRUE,IF(Q62="","",IF(Q62="Не обслуживается","Не обслуживается",IF(Q62="Нет данных","Нет данных",'Тарифы ФФ'!$J$67))),"")</f>
        <v/>
      </c>
      <c r="X62" s="133" t="str">
        <f t="shared" si="31"/>
        <v/>
      </c>
      <c r="Y62" s="98" t="b">
        <v>0</v>
      </c>
      <c r="Z62" s="134" t="str">
        <f>IF(Y62=TRUE,IF(Q62="","",IF(Q62="Не обслуживается","Не обслуживается",IF(Q62="Нет данных","Нет данных",VLOOKUP(AS24,'Тарифы ФФ'!$I$81:$J$89,2,0)))),"")</f>
        <v/>
      </c>
      <c r="AA62" s="133" t="str">
        <f t="shared" si="32"/>
        <v/>
      </c>
      <c r="AB62" s="98" t="b">
        <f t="shared" si="26"/>
        <v>0</v>
      </c>
      <c r="AC62" s="134" t="str">
        <f>IF(AB62=TRUE,IF(Q62="","",IF(Q62="Не обслуживается","Не обслуживается",IF(Q62="Нет данных","Нет данных",'Тарифы ФФ'!$J$79))),"")</f>
        <v/>
      </c>
      <c r="AD62" s="133" t="str">
        <f t="shared" si="33"/>
        <v/>
      </c>
      <c r="AE62" s="114"/>
      <c r="AF62" s="131"/>
      <c r="AG62" s="113"/>
      <c r="AH62" s="113"/>
      <c r="AI62" s="65"/>
      <c r="AJ62" s="222" t="s">
        <v>0</v>
      </c>
      <c r="AK62" s="222"/>
      <c r="AL62" s="222"/>
      <c r="AM62" s="99"/>
    </row>
    <row r="63" spans="2:39" ht="21" customHeight="1">
      <c r="B63" s="108">
        <f t="shared" si="27"/>
        <v>5</v>
      </c>
      <c r="C63" s="80" t="s">
        <v>51</v>
      </c>
      <c r="D63" s="100">
        <f t="shared" ref="D63:G63" si="36">IF(D44="","",D44)</f>
        <v>50</v>
      </c>
      <c r="E63" s="100">
        <f t="shared" si="36"/>
        <v>50</v>
      </c>
      <c r="F63" s="100">
        <f t="shared" si="36"/>
        <v>19.989999999999998</v>
      </c>
      <c r="G63" s="100">
        <f t="shared" si="36"/>
        <v>9.99</v>
      </c>
      <c r="H63" s="106"/>
      <c r="I63" s="112"/>
      <c r="J63" s="112"/>
      <c r="K63" s="112"/>
      <c r="L63" s="82"/>
      <c r="M63" s="77"/>
      <c r="N63" s="99"/>
      <c r="P63" s="79"/>
      <c r="Q63" s="133" t="str">
        <f>IF(H63&gt;0,IF(AS25=0,"Нет данных",IF(AS25=10,"Не обслуживается",VLOOKUP(AS25,'Тарифы ФФ'!$I$16:$J$24,2,0))),"")</f>
        <v/>
      </c>
      <c r="R63" s="133" t="str">
        <f t="shared" si="29"/>
        <v/>
      </c>
      <c r="S63" s="95" t="b">
        <v>0</v>
      </c>
      <c r="T63" s="134" t="str">
        <f>IF(S63=TRUE,IF(Q63="","",IF(Q63="Не обслуживается","Не обслуживается",IF(Q63="Нет данных","Нет данных",'Тарифы ФФ'!$J$77))),"")</f>
        <v/>
      </c>
      <c r="U63" s="133" t="str">
        <f t="shared" si="30"/>
        <v/>
      </c>
      <c r="V63" s="98" t="b">
        <v>0</v>
      </c>
      <c r="W63" s="134" t="str">
        <f>IF(V63=TRUE,IF(Q63="","",IF(Q63="Не обслуживается","Не обслуживается",IF(Q63="Нет данных","Нет данных",'Тарифы ФФ'!$J$67))),"")</f>
        <v/>
      </c>
      <c r="X63" s="133" t="str">
        <f t="shared" si="31"/>
        <v/>
      </c>
      <c r="Y63" s="98" t="b">
        <v>0</v>
      </c>
      <c r="Z63" s="134" t="str">
        <f>IF(Y63=TRUE,IF(Q63="","",IF(Q63="Не обслуживается","Не обслуживается",IF(Q63="Нет данных","Нет данных",VLOOKUP(AS25,'Тарифы ФФ'!$I$81:$J$89,2,0)))),"")</f>
        <v/>
      </c>
      <c r="AA63" s="133" t="str">
        <f t="shared" si="32"/>
        <v/>
      </c>
      <c r="AB63" s="98" t="b">
        <f t="shared" si="26"/>
        <v>0</v>
      </c>
      <c r="AC63" s="134" t="str">
        <f>IF(AB63=TRUE,IF(Q63="","",IF(Q63="Не обслуживается","Не обслуживается",IF(Q63="Нет данных","Нет данных",'Тарифы ФФ'!$J$79))),"")</f>
        <v/>
      </c>
      <c r="AD63" s="133" t="str">
        <f t="shared" si="33"/>
        <v/>
      </c>
      <c r="AE63" s="114"/>
      <c r="AF63" s="131"/>
      <c r="AG63" s="113"/>
      <c r="AH63" s="113"/>
      <c r="AI63" s="65"/>
      <c r="AJ63" s="65"/>
      <c r="AK63" s="77" t="s">
        <v>106</v>
      </c>
      <c r="AL63" s="65"/>
      <c r="AM63" s="99"/>
    </row>
    <row r="64" spans="2:39" ht="21" customHeight="1">
      <c r="B64" s="108">
        <f t="shared" si="27"/>
        <v>6</v>
      </c>
      <c r="C64" s="80" t="s">
        <v>52</v>
      </c>
      <c r="D64" s="100">
        <f t="shared" ref="D64:G64" si="37">IF(D45="","",D45)</f>
        <v>50</v>
      </c>
      <c r="E64" s="100">
        <f t="shared" si="37"/>
        <v>50</v>
      </c>
      <c r="F64" s="100">
        <f t="shared" si="37"/>
        <v>49.99</v>
      </c>
      <c r="G64" s="100">
        <f t="shared" si="37"/>
        <v>19.989999999999998</v>
      </c>
      <c r="H64" s="106"/>
      <c r="I64" s="112"/>
      <c r="J64" s="112"/>
      <c r="K64" s="112"/>
      <c r="L64" s="82"/>
      <c r="M64" s="110" t="b">
        <v>0</v>
      </c>
      <c r="N64" s="99"/>
      <c r="P64" s="79"/>
      <c r="Q64" s="133" t="str">
        <f>IF(H64&gt;0,IF(AS26=0,"Нет данных",IF(AS26=10,"Не обслуживается",VLOOKUP(AS26,'Тарифы ФФ'!$I$16:$J$24,2,0))),"")</f>
        <v/>
      </c>
      <c r="R64" s="133" t="str">
        <f t="shared" si="29"/>
        <v/>
      </c>
      <c r="S64" s="95" t="b">
        <v>0</v>
      </c>
      <c r="T64" s="134" t="str">
        <f>IF(S64=TRUE,IF(Q64="","",IF(Q64="Не обслуживается","Не обслуживается",IF(Q64="Нет данных","Нет данных",'Тарифы ФФ'!$J$77))),"")</f>
        <v/>
      </c>
      <c r="U64" s="133" t="str">
        <f t="shared" si="30"/>
        <v/>
      </c>
      <c r="V64" s="98" t="b">
        <v>0</v>
      </c>
      <c r="W64" s="134" t="str">
        <f>IF(V64=TRUE,IF(Q64="","",IF(Q64="Не обслуживается","Не обслуживается",IF(Q64="Нет данных","Нет данных",'Тарифы ФФ'!$J$67))),"")</f>
        <v/>
      </c>
      <c r="X64" s="133" t="str">
        <f t="shared" si="31"/>
        <v/>
      </c>
      <c r="Y64" s="98" t="b">
        <v>0</v>
      </c>
      <c r="Z64" s="134" t="str">
        <f>IF(Y64=TRUE,IF(Q64="","",IF(Q64="Не обслуживается","Не обслуживается",IF(Q64="Нет данных","Нет данных",VLOOKUP(AS26,'Тарифы ФФ'!$I$81:$J$89,2,0)))),"")</f>
        <v/>
      </c>
      <c r="AA64" s="133" t="str">
        <f t="shared" si="32"/>
        <v/>
      </c>
      <c r="AB64" s="98" t="b">
        <f t="shared" si="26"/>
        <v>0</v>
      </c>
      <c r="AC64" s="134" t="str">
        <f>IF(AB64=TRUE,IF(Q64="","",IF(Q64="Не обслуживается","Не обслуживается",IF(Q64="Нет данных","Нет данных",'Тарифы ФФ'!$J$79))),"")</f>
        <v/>
      </c>
      <c r="AD64" s="133" t="str">
        <f t="shared" si="33"/>
        <v/>
      </c>
      <c r="AE64" s="114"/>
      <c r="AF64" s="131"/>
      <c r="AG64" s="113"/>
      <c r="AH64" s="113"/>
      <c r="AI64" s="88"/>
      <c r="AJ64" s="88" t="s">
        <v>33</v>
      </c>
      <c r="AK64" s="88" t="s">
        <v>101</v>
      </c>
      <c r="AL64" s="88" t="s">
        <v>45</v>
      </c>
      <c r="AM64" s="99"/>
    </row>
    <row r="65" spans="2:39" ht="21" customHeight="1">
      <c r="B65" s="108">
        <f t="shared" si="27"/>
        <v>7</v>
      </c>
      <c r="C65" s="80" t="s">
        <v>53</v>
      </c>
      <c r="D65" s="100">
        <f t="shared" ref="D65:G65" si="38">IF(D46="","",D46)</f>
        <v>50</v>
      </c>
      <c r="E65" s="100">
        <f t="shared" si="38"/>
        <v>100</v>
      </c>
      <c r="F65" s="100">
        <f t="shared" si="38"/>
        <v>49.99</v>
      </c>
      <c r="G65" s="100">
        <f t="shared" si="38"/>
        <v>24.99</v>
      </c>
      <c r="H65" s="106"/>
      <c r="I65" s="112"/>
      <c r="J65" s="112"/>
      <c r="K65" s="112"/>
      <c r="L65" s="227" t="s">
        <v>110</v>
      </c>
      <c r="M65" s="228"/>
      <c r="N65" s="99"/>
      <c r="P65" s="79"/>
      <c r="Q65" s="133" t="str">
        <f>IF(H65&gt;0,IF(AS27=0,"Нет данных",IF(AS27=10,"Не обслуживается",VLOOKUP(AS27,'Тарифы ФФ'!$I$16:$J$24,2,0))),"")</f>
        <v/>
      </c>
      <c r="R65" s="133" t="str">
        <f t="shared" si="29"/>
        <v/>
      </c>
      <c r="S65" s="95" t="b">
        <v>0</v>
      </c>
      <c r="T65" s="134" t="str">
        <f>IF(S65=TRUE,IF(Q65="","",IF(Q65="Не обслуживается","Не обслуживается",IF(Q65="Нет данных","Нет данных",'Тарифы ФФ'!$J$77))),"")</f>
        <v/>
      </c>
      <c r="U65" s="133" t="str">
        <f t="shared" si="30"/>
        <v/>
      </c>
      <c r="V65" s="98" t="b">
        <v>0</v>
      </c>
      <c r="W65" s="134" t="str">
        <f>IF(V65=TRUE,IF(Q65="","",IF(Q65="Не обслуживается","Не обслуживается",IF(Q65="Нет данных","Нет данных",'Тарифы ФФ'!$J$67))),"")</f>
        <v/>
      </c>
      <c r="X65" s="133" t="str">
        <f t="shared" si="31"/>
        <v/>
      </c>
      <c r="Y65" s="98" t="b">
        <v>0</v>
      </c>
      <c r="Z65" s="134" t="str">
        <f>IF(Y65=TRUE,IF(Q65="","",IF(Q65="Не обслуживается","Не обслуживается",IF(Q65="Нет данных","Нет данных",VLOOKUP(AS27,'Тарифы ФФ'!$I$81:$J$89,2,0)))),"")</f>
        <v/>
      </c>
      <c r="AA65" s="133" t="str">
        <f t="shared" si="32"/>
        <v/>
      </c>
      <c r="AB65" s="98" t="b">
        <f t="shared" si="26"/>
        <v>0</v>
      </c>
      <c r="AC65" s="134" t="str">
        <f>IF(AB65=TRUE,IF(Q65="","",IF(Q65="Не обслуживается","Не обслуживается",IF(Q65="Нет данных","Нет данных",'Тарифы ФФ'!$J$79))),"")</f>
        <v/>
      </c>
      <c r="AD65" s="133" t="str">
        <f t="shared" si="33"/>
        <v/>
      </c>
      <c r="AE65" s="114"/>
      <c r="AF65" s="131"/>
      <c r="AG65" s="113"/>
      <c r="AH65" s="113"/>
      <c r="AI65" s="168" t="str">
        <f>IF(M64=TRUE,IF(M67&gt;0,TRUE,FALSE),"")</f>
        <v/>
      </c>
      <c r="AJ65" s="134" t="str">
        <f>IF(AI65=TRUE,IF(Q59="","",IF(Q59="Не обслуживается","Не обслуживается",IF(Q59="Нет данных","Нет данных",'Тарифы ФФ'!$J$27))),"")</f>
        <v/>
      </c>
      <c r="AK65" s="135" t="str">
        <f>IF(AI65=TRUE,M67,"")</f>
        <v/>
      </c>
      <c r="AL65" s="133" t="str">
        <f>IFERROR(IF(AK65="","",AJ65*AK65),"")</f>
        <v/>
      </c>
      <c r="AM65" s="99"/>
    </row>
    <row r="66" spans="2:39" ht="21" customHeight="1">
      <c r="B66" s="108">
        <f t="shared" si="27"/>
        <v>8</v>
      </c>
      <c r="C66" s="80" t="s">
        <v>54</v>
      </c>
      <c r="D66" s="100">
        <f t="shared" ref="D66:G66" si="39">IF(D47="","",D47)</f>
        <v>100</v>
      </c>
      <c r="E66" s="100">
        <f t="shared" si="39"/>
        <v>100</v>
      </c>
      <c r="F66" s="100">
        <f t="shared" si="39"/>
        <v>69.989999999999995</v>
      </c>
      <c r="G66" s="100">
        <f t="shared" si="39"/>
        <v>49.99</v>
      </c>
      <c r="H66" s="106"/>
      <c r="I66" s="112"/>
      <c r="J66" s="112"/>
      <c r="K66" s="112"/>
      <c r="L66" s="109" t="s">
        <v>108</v>
      </c>
      <c r="M66" s="139"/>
      <c r="N66" s="99"/>
      <c r="P66" s="79"/>
      <c r="Q66" s="133" t="str">
        <f>IF(H66&gt;0,IF(AS28=0,"Нет данных",IF(AS28=10,"Не обслуживается",VLOOKUP(AS28,'Тарифы ФФ'!$I$16:$J$24,2,0))),"")</f>
        <v/>
      </c>
      <c r="R66" s="133" t="str">
        <f t="shared" si="29"/>
        <v/>
      </c>
      <c r="S66" s="95" t="b">
        <v>0</v>
      </c>
      <c r="T66" s="134" t="str">
        <f>IF(S66=TRUE,IF(Q66="","",IF(Q66="Не обслуживается","Не обслуживается",IF(Q66="Нет данных","Нет данных",'Тарифы ФФ'!$J$77))),"")</f>
        <v/>
      </c>
      <c r="U66" s="133" t="str">
        <f t="shared" si="30"/>
        <v/>
      </c>
      <c r="V66" s="98" t="b">
        <v>0</v>
      </c>
      <c r="W66" s="134" t="str">
        <f>IF(V66=TRUE,IF(Q66="","",IF(Q66="Не обслуживается","Не обслуживается",IF(Q66="Нет данных","Нет данных",'Тарифы ФФ'!$J$67))),"")</f>
        <v/>
      </c>
      <c r="X66" s="133" t="str">
        <f t="shared" si="31"/>
        <v/>
      </c>
      <c r="Y66" s="98" t="b">
        <v>0</v>
      </c>
      <c r="Z66" s="134" t="str">
        <f>IF(Y66=TRUE,IF(Q66="","",IF(Q66="Не обслуживается","Не обслуживается",IF(Q66="Нет данных","Нет данных",VLOOKUP(AS28,'Тарифы ФФ'!$I$81:$J$89,2,0)))),"")</f>
        <v/>
      </c>
      <c r="AA66" s="133" t="str">
        <f t="shared" si="32"/>
        <v/>
      </c>
      <c r="AB66" s="98" t="b">
        <f t="shared" si="26"/>
        <v>0</v>
      </c>
      <c r="AC66" s="134" t="str">
        <f>IF(AB66=TRUE,IF(Q66="","",IF(Q66="Не обслуживается","Не обслуживается",IF(Q66="Нет данных","Нет данных",'Тарифы ФФ'!$J$79))),"")</f>
        <v/>
      </c>
      <c r="AD66" s="133" t="str">
        <f t="shared" si="33"/>
        <v/>
      </c>
      <c r="AE66" s="114"/>
      <c r="AF66" s="131"/>
      <c r="AG66" s="113"/>
      <c r="AH66" s="113"/>
      <c r="AI66" s="114"/>
      <c r="AJ66" s="69" t="s">
        <v>61</v>
      </c>
      <c r="AK66" s="69"/>
      <c r="AL66" s="89">
        <f>SUM(AL65)</f>
        <v>0</v>
      </c>
      <c r="AM66" s="99"/>
    </row>
    <row r="67" spans="2:39" ht="21" customHeight="1">
      <c r="B67" s="108">
        <f t="shared" si="27"/>
        <v>9</v>
      </c>
      <c r="C67" s="80" t="s">
        <v>55</v>
      </c>
      <c r="D67" s="100">
        <f t="shared" ref="D67:G67" si="40">IF(D48="","",D48)</f>
        <v>100</v>
      </c>
      <c r="E67" s="100">
        <f t="shared" si="40"/>
        <v>100</v>
      </c>
      <c r="F67" s="100">
        <f t="shared" si="40"/>
        <v>100</v>
      </c>
      <c r="G67" s="100">
        <f t="shared" si="40"/>
        <v>100</v>
      </c>
      <c r="H67" s="106"/>
      <c r="I67" s="112"/>
      <c r="J67" s="112"/>
      <c r="K67" s="112"/>
      <c r="L67" s="109" t="s">
        <v>107</v>
      </c>
      <c r="M67" s="139"/>
      <c r="N67" s="99"/>
      <c r="P67" s="79"/>
      <c r="Q67" s="133" t="str">
        <f>IF(H67&gt;0,IF(AS29=0,"Нет данных",IF(AS29=10,"Не обслуживается",VLOOKUP(AS29,'Тарифы ФФ'!$I$16:$J$24,2,0))),"")</f>
        <v/>
      </c>
      <c r="R67" s="133" t="str">
        <f t="shared" si="29"/>
        <v/>
      </c>
      <c r="S67" s="95" t="b">
        <v>0</v>
      </c>
      <c r="T67" s="134" t="str">
        <f>IF(S67=TRUE,IF(Q67="","",IF(Q67="Не обслуживается","Не обслуживается",IF(Q67="Нет данных","Нет данных",'Тарифы ФФ'!$J$77))),"")</f>
        <v/>
      </c>
      <c r="U67" s="133" t="str">
        <f t="shared" si="30"/>
        <v/>
      </c>
      <c r="V67" s="98" t="b">
        <v>0</v>
      </c>
      <c r="W67" s="134" t="str">
        <f>IF(V67=TRUE,IF(Q67="","",IF(Q67="Не обслуживается","Не обслуживается",IF(Q67="Нет данных","Нет данных",'Тарифы ФФ'!$J$67))),"")</f>
        <v/>
      </c>
      <c r="X67" s="133" t="str">
        <f t="shared" si="31"/>
        <v/>
      </c>
      <c r="Y67" s="98" t="b">
        <v>0</v>
      </c>
      <c r="Z67" s="134" t="str">
        <f>IF(Y67=TRUE,IF(Q67="","",IF(Q67="Не обслуживается","Не обслуживается",IF(Q67="Нет данных","Нет данных",VLOOKUP(AS29,'Тарифы ФФ'!$I$81:$J$89,2,0)))),"")</f>
        <v/>
      </c>
      <c r="AA67" s="133" t="str">
        <f t="shared" si="32"/>
        <v/>
      </c>
      <c r="AB67" s="98" t="b">
        <f t="shared" si="26"/>
        <v>0</v>
      </c>
      <c r="AC67" s="134" t="str">
        <f>IF(AB67=TRUE,IF(Q67="","",IF(Q67="Не обслуживается","Не обслуживается",IF(Q67="Нет данных","Нет данных",'Тарифы ФФ'!$J$79))),"")</f>
        <v/>
      </c>
      <c r="AD67" s="133" t="str">
        <f t="shared" si="33"/>
        <v/>
      </c>
      <c r="AE67" s="114"/>
      <c r="AF67" s="131"/>
      <c r="AG67" s="113"/>
      <c r="AH67" s="113"/>
      <c r="AI67" s="114"/>
      <c r="AJ67" s="113"/>
      <c r="AK67" s="113"/>
      <c r="AL67" s="113"/>
      <c r="AM67" s="99"/>
    </row>
    <row r="68" spans="2:39" ht="21" customHeight="1">
      <c r="B68" s="108">
        <f t="shared" si="27"/>
        <v>9</v>
      </c>
      <c r="C68" s="80" t="s">
        <v>56</v>
      </c>
      <c r="D68" s="100">
        <f t="shared" ref="D68:G68" si="41">IF(D49="","",D49)</f>
        <v>100</v>
      </c>
      <c r="E68" s="100">
        <f t="shared" si="41"/>
        <v>100</v>
      </c>
      <c r="F68" s="100">
        <f t="shared" si="41"/>
        <v>100</v>
      </c>
      <c r="G68" s="100">
        <f t="shared" si="41"/>
        <v>100</v>
      </c>
      <c r="H68" s="106"/>
      <c r="I68" s="112"/>
      <c r="J68" s="112"/>
      <c r="K68" s="112"/>
      <c r="L68" s="140" t="s">
        <v>109</v>
      </c>
      <c r="M68" s="77"/>
      <c r="N68" s="99"/>
      <c r="P68" s="79"/>
      <c r="Q68" s="133" t="str">
        <f>IF(H68&gt;0,IF(AS30=0,"Нет данных",IF(AS30=10,"Не обслуживается",VLOOKUP(AS30,'Тарифы ФФ'!$I$16:$J$24,2,0))),"")</f>
        <v/>
      </c>
      <c r="R68" s="133" t="str">
        <f t="shared" si="29"/>
        <v/>
      </c>
      <c r="S68" s="95" t="b">
        <v>0</v>
      </c>
      <c r="T68" s="134" t="str">
        <f>IF(S68=TRUE,IF(Q68="","",IF(Q68="Не обслуживается","Не обслуживается",IF(Q68="Нет данных","Нет данных",'Тарифы ФФ'!$J$77))),"")</f>
        <v/>
      </c>
      <c r="U68" s="133" t="str">
        <f t="shared" si="30"/>
        <v/>
      </c>
      <c r="V68" s="98" t="b">
        <v>0</v>
      </c>
      <c r="W68" s="134" t="str">
        <f>IF(V68=TRUE,IF(Q68="","",IF(Q68="Не обслуживается","Не обслуживается",IF(Q68="Нет данных","Нет данных",'Тарифы ФФ'!$J$67))),"")</f>
        <v/>
      </c>
      <c r="X68" s="133" t="str">
        <f t="shared" si="31"/>
        <v/>
      </c>
      <c r="Y68" s="98" t="b">
        <v>0</v>
      </c>
      <c r="Z68" s="134" t="str">
        <f>IF(Y68=TRUE,IF(Q68="","",IF(Q68="Не обслуживается","Не обслуживается",IF(Q68="Нет данных","Нет данных",VLOOKUP(AS30,'Тарифы ФФ'!$I$81:$J$89,2,0)))),"")</f>
        <v/>
      </c>
      <c r="AA68" s="133" t="str">
        <f t="shared" si="32"/>
        <v/>
      </c>
      <c r="AB68" s="98" t="b">
        <f t="shared" si="26"/>
        <v>0</v>
      </c>
      <c r="AC68" s="134" t="str">
        <f>IF(AB68=TRUE,IF(Q68="","",IF(Q68="Не обслуживается","Не обслуживается",IF(Q68="Нет данных","Нет данных",'Тарифы ФФ'!$J$79))),"")</f>
        <v/>
      </c>
      <c r="AD68" s="133" t="str">
        <f t="shared" si="33"/>
        <v/>
      </c>
      <c r="AE68" s="114"/>
      <c r="AF68" s="131"/>
      <c r="AG68" s="113"/>
      <c r="AH68" s="113"/>
      <c r="AI68" s="114"/>
      <c r="AJ68" s="113"/>
      <c r="AK68" s="113"/>
      <c r="AL68" s="113"/>
      <c r="AM68" s="99"/>
    </row>
    <row r="69" spans="2:39" ht="19.05" customHeight="1">
      <c r="B69" s="79"/>
      <c r="C69" s="82"/>
      <c r="D69" s="82"/>
      <c r="E69" s="82"/>
      <c r="F69" s="82"/>
      <c r="G69" s="82"/>
      <c r="H69" s="85">
        <f>SUM(H59:H68)</f>
        <v>200</v>
      </c>
      <c r="I69" s="82"/>
      <c r="J69" s="82"/>
      <c r="K69" s="82"/>
      <c r="L69" s="82"/>
      <c r="M69" s="77"/>
      <c r="N69" s="99"/>
      <c r="P69" s="79"/>
      <c r="Q69" s="69" t="s">
        <v>61</v>
      </c>
      <c r="R69" s="89">
        <f>SUM(R59:R68)</f>
        <v>2780</v>
      </c>
      <c r="S69" s="89"/>
      <c r="T69" s="69" t="s">
        <v>61</v>
      </c>
      <c r="U69" s="89">
        <f>SUM(U59:U68)</f>
        <v>0</v>
      </c>
      <c r="V69" s="89"/>
      <c r="W69" s="69" t="s">
        <v>61</v>
      </c>
      <c r="X69" s="89">
        <f>SUM(X59:X68)</f>
        <v>0</v>
      </c>
      <c r="Y69" s="89"/>
      <c r="Z69" s="69" t="s">
        <v>61</v>
      </c>
      <c r="AA69" s="89">
        <f>SUM(AA59:AA68)</f>
        <v>4000</v>
      </c>
      <c r="AB69" s="89"/>
      <c r="AC69" s="69" t="s">
        <v>61</v>
      </c>
      <c r="AD69" s="89">
        <f>SUM(AD59:AD68)</f>
        <v>0</v>
      </c>
      <c r="AE69" s="89"/>
      <c r="AF69" s="65"/>
      <c r="AG69" s="65"/>
      <c r="AH69" s="65"/>
      <c r="AI69" s="89"/>
      <c r="AJ69" s="65"/>
      <c r="AK69" s="65"/>
      <c r="AL69" s="65"/>
      <c r="AM69" s="99"/>
    </row>
    <row r="70" spans="2:39" ht="15" thickBot="1">
      <c r="B70" s="71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3"/>
      <c r="P70" s="71"/>
      <c r="Q70" s="72"/>
      <c r="R70" s="90"/>
      <c r="S70" s="90"/>
      <c r="T70" s="90"/>
      <c r="U70" s="90"/>
      <c r="V70" s="90"/>
      <c r="W70" s="90"/>
      <c r="X70" s="90"/>
      <c r="Y70" s="90"/>
      <c r="Z70" s="72"/>
      <c r="AA70" s="90"/>
      <c r="AB70" s="72"/>
      <c r="AC70" s="72"/>
      <c r="AD70" s="90"/>
      <c r="AE70" s="72"/>
      <c r="AF70" s="72"/>
      <c r="AG70" s="72"/>
      <c r="AH70" s="90"/>
      <c r="AI70" s="72"/>
      <c r="AJ70" s="72"/>
      <c r="AK70" s="72"/>
      <c r="AL70" s="90"/>
      <c r="AM70" s="73"/>
    </row>
    <row r="71" spans="2:39" ht="15" thickBot="1"/>
    <row r="72" spans="2:39">
      <c r="B72" s="216"/>
      <c r="C72" s="217" t="s">
        <v>178</v>
      </c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3"/>
      <c r="P72" s="216"/>
      <c r="Q72" s="217" t="s">
        <v>186</v>
      </c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3"/>
      <c r="AJ72" s="17"/>
    </row>
    <row r="73" spans="2:39" ht="21">
      <c r="B73" s="64"/>
      <c r="C73" s="76" t="s">
        <v>112</v>
      </c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6"/>
      <c r="P73" s="64"/>
      <c r="Q73" s="76" t="s">
        <v>114</v>
      </c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6"/>
      <c r="AJ73" s="17"/>
    </row>
    <row r="74" spans="2:39" ht="10.050000000000001" customHeight="1">
      <c r="B74" s="64"/>
      <c r="C74" s="76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65"/>
      <c r="O74" s="17"/>
      <c r="P74" s="64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6"/>
      <c r="AJ74" s="17"/>
    </row>
    <row r="75" spans="2:39" ht="18">
      <c r="B75" s="64"/>
      <c r="C75" s="78" t="s">
        <v>98</v>
      </c>
      <c r="D75" s="65"/>
      <c r="E75" s="65"/>
      <c r="F75" s="65"/>
      <c r="G75" s="65"/>
      <c r="H75" s="65"/>
      <c r="I75" s="65"/>
      <c r="J75" s="65"/>
      <c r="K75" s="65"/>
      <c r="L75" s="226" t="s">
        <v>96</v>
      </c>
      <c r="M75" s="226"/>
      <c r="N75" s="66"/>
      <c r="P75" s="64"/>
      <c r="Q75" s="222" t="s">
        <v>99</v>
      </c>
      <c r="R75" s="222"/>
      <c r="S75" s="65"/>
      <c r="T75" s="222" t="s">
        <v>58</v>
      </c>
      <c r="U75" s="222"/>
      <c r="V75" s="65"/>
      <c r="W75" s="222" t="s">
        <v>48</v>
      </c>
      <c r="X75" s="222"/>
      <c r="Y75" s="65"/>
      <c r="Z75" s="222" t="s">
        <v>59</v>
      </c>
      <c r="AA75" s="222"/>
      <c r="AB75" s="65"/>
      <c r="AC75" s="222" t="s">
        <v>105</v>
      </c>
      <c r="AD75" s="222"/>
      <c r="AE75" s="65"/>
      <c r="AF75" s="222" t="s">
        <v>115</v>
      </c>
      <c r="AG75" s="222"/>
      <c r="AH75" s="222"/>
      <c r="AI75" s="66"/>
      <c r="AJ75" s="17"/>
    </row>
    <row r="76" spans="2:39">
      <c r="B76" s="64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6"/>
      <c r="P76" s="64"/>
      <c r="Q76" s="65"/>
      <c r="R76" s="65"/>
      <c r="S76" s="65"/>
      <c r="T76" s="223"/>
      <c r="U76" s="223"/>
      <c r="V76" s="65"/>
      <c r="W76" s="223"/>
      <c r="X76" s="223"/>
      <c r="Y76" s="65"/>
      <c r="Z76" s="65"/>
      <c r="AA76" s="65"/>
      <c r="AB76" s="65"/>
      <c r="AC76" s="65"/>
      <c r="AD76" s="65"/>
      <c r="AE76" s="65"/>
      <c r="AF76" s="65"/>
      <c r="AG76" s="77" t="s">
        <v>116</v>
      </c>
      <c r="AH76" s="65"/>
      <c r="AI76" s="66"/>
      <c r="AJ76" s="17"/>
    </row>
    <row r="77" spans="2:39" ht="28.8">
      <c r="B77" s="79"/>
      <c r="C77" s="80" t="s">
        <v>57</v>
      </c>
      <c r="D77" s="81" t="s">
        <v>20</v>
      </c>
      <c r="E77" s="81" t="s">
        <v>21</v>
      </c>
      <c r="F77" s="81" t="s">
        <v>22</v>
      </c>
      <c r="G77" s="81" t="s">
        <v>43</v>
      </c>
      <c r="H77" s="81" t="s">
        <v>95</v>
      </c>
      <c r="I77" s="81" t="s">
        <v>58</v>
      </c>
      <c r="J77" s="81" t="s">
        <v>48</v>
      </c>
      <c r="K77" s="81" t="s">
        <v>59</v>
      </c>
      <c r="L77" s="220" t="s">
        <v>117</v>
      </c>
      <c r="M77" s="221"/>
      <c r="N77" s="99"/>
      <c r="P77" s="79"/>
      <c r="Q77" s="88" t="s">
        <v>33</v>
      </c>
      <c r="R77" s="88" t="s">
        <v>45</v>
      </c>
      <c r="S77" s="88"/>
      <c r="T77" s="88" t="s">
        <v>33</v>
      </c>
      <c r="U77" s="88" t="s">
        <v>45</v>
      </c>
      <c r="V77" s="88"/>
      <c r="W77" s="88" t="s">
        <v>33</v>
      </c>
      <c r="X77" s="88" t="s">
        <v>45</v>
      </c>
      <c r="Y77" s="88"/>
      <c r="Z77" s="88" t="s">
        <v>33</v>
      </c>
      <c r="AA77" s="88" t="s">
        <v>45</v>
      </c>
      <c r="AB77" s="88"/>
      <c r="AC77" s="88" t="s">
        <v>33</v>
      </c>
      <c r="AD77" s="88" t="s">
        <v>45</v>
      </c>
      <c r="AE77" s="88"/>
      <c r="AF77" s="88" t="s">
        <v>33</v>
      </c>
      <c r="AG77" s="88" t="s">
        <v>101</v>
      </c>
      <c r="AH77" s="88" t="s">
        <v>45</v>
      </c>
      <c r="AI77" s="99"/>
      <c r="AJ77" s="17"/>
      <c r="AM77" s="24"/>
    </row>
    <row r="78" spans="2:39" ht="21" customHeight="1">
      <c r="B78" s="79"/>
      <c r="C78" s="80" t="s">
        <v>17</v>
      </c>
      <c r="D78" s="100">
        <f>IF(D59="","",D59)</f>
        <v>10</v>
      </c>
      <c r="E78" s="100">
        <f t="shared" ref="E78:G78" si="42">IF(E59="","",E59)</f>
        <v>10</v>
      </c>
      <c r="F78" s="100">
        <f t="shared" si="42"/>
        <v>9.99</v>
      </c>
      <c r="G78" s="100">
        <f t="shared" si="42"/>
        <v>0.49</v>
      </c>
      <c r="H78" s="106"/>
      <c r="I78" s="112"/>
      <c r="J78" s="112"/>
      <c r="K78" s="112"/>
      <c r="L78" s="109" t="s">
        <v>97</v>
      </c>
      <c r="M78" s="111">
        <v>1</v>
      </c>
      <c r="N78" s="99"/>
      <c r="P78" s="79"/>
      <c r="Q78" s="133" t="str">
        <f>IF(H78&gt;0,IF(AS21=0,"Нет данных",IF(AS21=10,"Не обслуживается",VLOOKUP(AS21,'Тарифы ФФ'!$I$16:$J$24,2,0))),"")</f>
        <v/>
      </c>
      <c r="R78" s="133" t="str">
        <f>IFERROR(IF(H78&gt;0,Q78*H78,""),"")</f>
        <v/>
      </c>
      <c r="S78" s="95" t="b">
        <v>0</v>
      </c>
      <c r="T78" s="134" t="str">
        <f>IF(S78=TRUE,IF(Q78="","",IF(Q78="Не обслуживается","Не обслуживается",IF(Q78="Нет данных","Нет данных",'Тарифы ФФ'!$J$77))),"")</f>
        <v/>
      </c>
      <c r="U78" s="133" t="str">
        <f>IFERROR(IF(T78="","",T78*H78),"")</f>
        <v/>
      </c>
      <c r="V78" s="98" t="b">
        <v>0</v>
      </c>
      <c r="W78" s="134" t="str">
        <f>IF(V78=TRUE,IF(Q78="","",IF(Q78="Не обслуживается","Не обслуживается",IF(Q78="Нет данных","Нет данных",'Тарифы ФФ'!$J$67))),"")</f>
        <v/>
      </c>
      <c r="X78" s="133" t="str">
        <f>IFERROR(IF(W78="","",W78*H78),"")</f>
        <v/>
      </c>
      <c r="Y78" s="98" t="b">
        <v>0</v>
      </c>
      <c r="Z78" s="134" t="str">
        <f>IF(Y78=TRUE,IF(Q78="","",IF(Q78="Не обслуживается","Не обслуживается",IF(Q78="Нет данных","Нет данных",VLOOKUP(AS21,'Тарифы ФФ'!$I$81:$J$89,2,0)))),"")</f>
        <v/>
      </c>
      <c r="AA78" s="133" t="str">
        <f>IFERROR(IF(Z78="","",Z78*H78),"")</f>
        <v/>
      </c>
      <c r="AB78" s="168" t="b">
        <f>$M$82</f>
        <v>1</v>
      </c>
      <c r="AC78" s="134" t="str">
        <f>IF(AB78=TRUE,IF(Q78="","",IF(Q78="Не обслуживается","Не обслуживается",IF(Q78="Нет данных","Нет данных",'Тарифы ФФ'!$J$79))),"")</f>
        <v/>
      </c>
      <c r="AD78" s="133" t="str">
        <f>IFERROR(IF(AC78="","",AC78*H78),"")</f>
        <v/>
      </c>
      <c r="AE78" s="168" t="b">
        <f>IF($M$79&gt;0,TRUE,FALSE)</f>
        <v>1</v>
      </c>
      <c r="AF78" s="134" t="str">
        <f>IF(AE78=TRUE,IF(Q78="","",IF(Q78="Не обслуживается","Не обслуживается",IF(Q78="Нет данных","Нет данных",VLOOKUP(AS21,'Тарифы ФФ'!$I$30:$J$38,2,0)))),"")</f>
        <v/>
      </c>
      <c r="AG78" s="135">
        <f>IF(AF78="Нет данных","",IF(AF78="Нет обслуживается","",IF(AE78=TRUE,H78/$M$78,"")))</f>
        <v>0</v>
      </c>
      <c r="AH78" s="133" t="str">
        <f>IFERROR(IF(AG78="","",AF78*AG78),"")</f>
        <v/>
      </c>
      <c r="AI78" s="99"/>
      <c r="AJ78" s="17"/>
      <c r="AM78" s="24"/>
    </row>
    <row r="79" spans="2:39" ht="21" customHeight="1">
      <c r="B79" s="79"/>
      <c r="C79" s="80" t="s">
        <v>18</v>
      </c>
      <c r="D79" s="100">
        <f t="shared" ref="D79:G79" si="43">IF(D60="","",D60)</f>
        <v>20</v>
      </c>
      <c r="E79" s="100">
        <f t="shared" si="43"/>
        <v>20</v>
      </c>
      <c r="F79" s="100">
        <f t="shared" si="43"/>
        <v>9.99</v>
      </c>
      <c r="G79" s="100">
        <f t="shared" si="43"/>
        <v>1.49</v>
      </c>
      <c r="H79" s="106">
        <v>100</v>
      </c>
      <c r="I79" s="112"/>
      <c r="J79" s="112"/>
      <c r="K79" s="112"/>
      <c r="L79" s="137" t="s">
        <v>102</v>
      </c>
      <c r="M79" s="138">
        <f>IFERROR(IF(H88&gt;0,H88/M78,"0"),H88)</f>
        <v>100</v>
      </c>
      <c r="N79" s="99"/>
      <c r="P79" s="79"/>
      <c r="Q79" s="133">
        <f>IF(H79&gt;0,IF(AS22=0,"Нет данных",IF(AS22=10,"Не обслуживается",VLOOKUP(AS22,'Тарифы ФФ'!$I$16:$J$24,2,0))),"")</f>
        <v>13.9</v>
      </c>
      <c r="R79" s="133">
        <f t="shared" ref="R79:R87" si="44">IFERROR(IF(H79&gt;0,Q79*H79,""),"")</f>
        <v>1390</v>
      </c>
      <c r="S79" s="95" t="b">
        <v>0</v>
      </c>
      <c r="T79" s="134" t="str">
        <f>IF(S79=TRUE,IF(Q79="","",IF(Q79="Не обслуживается","Не обслуживается",IF(Q79="Нет данных","Нет данных",'Тарифы ФФ'!$J$77))),"")</f>
        <v/>
      </c>
      <c r="U79" s="133" t="str">
        <f t="shared" ref="U79:U87" si="45">IFERROR(IF(T79="","",T79*H79),"")</f>
        <v/>
      </c>
      <c r="V79" s="98" t="b">
        <v>0</v>
      </c>
      <c r="W79" s="134" t="str">
        <f>IF(V79=TRUE,IF(Q79="","",IF(Q79="Не обслуживается","Не обслуживается",IF(Q79="Нет данных","Нет данных",'Тарифы ФФ'!$J$67))),"")</f>
        <v/>
      </c>
      <c r="X79" s="133" t="str">
        <f t="shared" ref="X79:X87" si="46">IFERROR(IF(W79="","",W79*H79),"")</f>
        <v/>
      </c>
      <c r="Y79" s="98" t="b">
        <v>1</v>
      </c>
      <c r="Z79" s="134">
        <f>IF(Y79=TRUE,IF(Q79="","",IF(Q79="Не обслуживается","Не обслуживается",IF(Q79="Нет данных","Нет данных",VLOOKUP(AS22,'Тарифы ФФ'!$I$81:$J$89,2,0)))),"")</f>
        <v>20</v>
      </c>
      <c r="AA79" s="133">
        <f t="shared" ref="AA79:AA87" si="47">IFERROR(IF(Z79="","",Z79*H79),"")</f>
        <v>2000</v>
      </c>
      <c r="AB79" s="168" t="b">
        <f t="shared" ref="AB79:AB87" si="48">$M$82</f>
        <v>1</v>
      </c>
      <c r="AC79" s="134">
        <f>IF(AB79=TRUE,IF(Q79="","",IF(Q79="Не обслуживается","Не обслуживается",IF(Q79="Нет данных","Нет данных",'Тарифы ФФ'!$J$79))),"")</f>
        <v>4</v>
      </c>
      <c r="AD79" s="133">
        <f t="shared" ref="AD79:AD87" si="49">IFERROR(IF(AC79="","",AC79*H79),"")</f>
        <v>400</v>
      </c>
      <c r="AE79" s="168" t="b">
        <f t="shared" ref="AE79:AE87" si="50">IF($M$79&gt;0,TRUE,FALSE)</f>
        <v>1</v>
      </c>
      <c r="AF79" s="134">
        <f>IF(AE79=TRUE,IF(Q79="","",IF(Q79="Не обслуживается","Не обслуживается",IF(Q79="Нет данных","Нет данных",VLOOKUP(AS22,'Тарифы ФФ'!$I$30:$J$38,2,0)))),"")</f>
        <v>12.1</v>
      </c>
      <c r="AG79" s="135">
        <f t="shared" ref="AG79:AG87" si="51">IF(AF79="Нет данных","",IF(AF79="Нет обслуживается","",IF(AE79=TRUE,H79/$M$78,"")))</f>
        <v>100</v>
      </c>
      <c r="AH79" s="133">
        <f t="shared" ref="AH79:AH87" si="52">IFERROR(IF(AG79="","",AF79*AG79),"")</f>
        <v>1210</v>
      </c>
      <c r="AI79" s="99"/>
      <c r="AJ79" s="17"/>
      <c r="AM79" s="24"/>
    </row>
    <row r="80" spans="2:39" ht="21" customHeight="1">
      <c r="B80" s="79"/>
      <c r="C80" s="80" t="s">
        <v>19</v>
      </c>
      <c r="D80" s="100">
        <f t="shared" ref="D80:G80" si="53">IF(D61="","",D61)</f>
        <v>30</v>
      </c>
      <c r="E80" s="100">
        <f t="shared" si="53"/>
        <v>30</v>
      </c>
      <c r="F80" s="100">
        <f t="shared" si="53"/>
        <v>19.989999999999998</v>
      </c>
      <c r="G80" s="100">
        <f t="shared" si="53"/>
        <v>2.99</v>
      </c>
      <c r="H80" s="106"/>
      <c r="I80" s="112"/>
      <c r="J80" s="112"/>
      <c r="K80" s="112"/>
      <c r="L80" s="140" t="s">
        <v>118</v>
      </c>
      <c r="M80" s="77"/>
      <c r="N80" s="99"/>
      <c r="P80" s="79"/>
      <c r="Q80" s="133" t="str">
        <f>IF(H80&gt;0,IF(AS23=0,"Нет данных",IF(AS23=10,"Не обслуживается",VLOOKUP(AS23,'Тарифы ФФ'!$I$16:$J$24,2,0))),"")</f>
        <v/>
      </c>
      <c r="R80" s="133" t="str">
        <f t="shared" si="44"/>
        <v/>
      </c>
      <c r="S80" s="95" t="b">
        <v>0</v>
      </c>
      <c r="T80" s="134" t="str">
        <f>IF(S80=TRUE,IF(Q80="","",IF(Q80="Не обслуживается","Не обслуживается",IF(Q80="Нет данных","Нет данных",'Тарифы ФФ'!$J$77))),"")</f>
        <v/>
      </c>
      <c r="U80" s="133" t="str">
        <f t="shared" si="45"/>
        <v/>
      </c>
      <c r="V80" s="98" t="b">
        <v>0</v>
      </c>
      <c r="W80" s="134" t="str">
        <f>IF(V80=TRUE,IF(Q80="","",IF(Q80="Не обслуживается","Не обслуживается",IF(Q80="Нет данных","Нет данных",'Тарифы ФФ'!$J$67))),"")</f>
        <v/>
      </c>
      <c r="X80" s="133" t="str">
        <f t="shared" si="46"/>
        <v/>
      </c>
      <c r="Y80" s="98" t="b">
        <v>0</v>
      </c>
      <c r="Z80" s="134" t="str">
        <f>IF(Y80=TRUE,IF(Q80="","",IF(Q80="Не обслуживается","Не обслуживается",IF(Q80="Нет данных","Нет данных",VLOOKUP(AS23,'Тарифы ФФ'!$I$81:$J$89,2,0)))),"")</f>
        <v/>
      </c>
      <c r="AA80" s="133" t="str">
        <f t="shared" si="47"/>
        <v/>
      </c>
      <c r="AB80" s="168" t="b">
        <f t="shared" si="48"/>
        <v>1</v>
      </c>
      <c r="AC80" s="134" t="str">
        <f>IF(AB80=TRUE,IF(Q80="","",IF(Q80="Не обслуживается","Не обслуживается",IF(Q80="Нет данных","Нет данных",'Тарифы ФФ'!$J$79))),"")</f>
        <v/>
      </c>
      <c r="AD80" s="133" t="str">
        <f t="shared" si="49"/>
        <v/>
      </c>
      <c r="AE80" s="168" t="b">
        <f t="shared" si="50"/>
        <v>1</v>
      </c>
      <c r="AF80" s="134" t="str">
        <f>IF(AE80=TRUE,IF(Q80="","",IF(Q80="Не обслуживается","Не обслуживается",IF(Q80="Нет данных","Нет данных",VLOOKUP(AS23,'Тарифы ФФ'!$I$30:$J$38,2,0)))),"")</f>
        <v/>
      </c>
      <c r="AG80" s="135">
        <f t="shared" si="51"/>
        <v>0</v>
      </c>
      <c r="AH80" s="133" t="str">
        <f t="shared" si="52"/>
        <v/>
      </c>
      <c r="AI80" s="99"/>
      <c r="AJ80" s="17"/>
      <c r="AM80" s="24"/>
    </row>
    <row r="81" spans="2:39" ht="21" customHeight="1">
      <c r="B81" s="79"/>
      <c r="C81" s="80" t="s">
        <v>50</v>
      </c>
      <c r="D81" s="100">
        <f t="shared" ref="D81:G81" si="54">IF(D62="","",D62)</f>
        <v>40</v>
      </c>
      <c r="E81" s="100">
        <f t="shared" si="54"/>
        <v>40</v>
      </c>
      <c r="F81" s="100">
        <f t="shared" si="54"/>
        <v>19.989999999999998</v>
      </c>
      <c r="G81" s="100">
        <f t="shared" si="54"/>
        <v>4.99</v>
      </c>
      <c r="H81" s="106"/>
      <c r="I81" s="112"/>
      <c r="J81" s="112"/>
      <c r="K81" s="112"/>
      <c r="L81" s="82"/>
      <c r="M81" s="82"/>
      <c r="N81" s="99"/>
      <c r="P81" s="79"/>
      <c r="Q81" s="133" t="str">
        <f>IF(H81&gt;0,IF(AS24=0,"Нет данных",IF(AS24=10,"Не обслуживается",VLOOKUP(AS24,'Тарифы ФФ'!$I$16:$J$24,2,0))),"")</f>
        <v/>
      </c>
      <c r="R81" s="133" t="str">
        <f t="shared" si="44"/>
        <v/>
      </c>
      <c r="S81" s="95" t="b">
        <v>0</v>
      </c>
      <c r="T81" s="134" t="str">
        <f>IF(S81=TRUE,IF(Q81="","",IF(Q81="Не обслуживается","Не обслуживается",IF(Q81="Нет данных","Нет данных",'Тарифы ФФ'!$J$77))),"")</f>
        <v/>
      </c>
      <c r="U81" s="133" t="str">
        <f t="shared" si="45"/>
        <v/>
      </c>
      <c r="V81" s="98" t="b">
        <v>0</v>
      </c>
      <c r="W81" s="134" t="str">
        <f>IF(V81=TRUE,IF(Q81="","",IF(Q81="Не обслуживается","Не обслуживается",IF(Q81="Нет данных","Нет данных",'Тарифы ФФ'!$J$67))),"")</f>
        <v/>
      </c>
      <c r="X81" s="133" t="str">
        <f t="shared" si="46"/>
        <v/>
      </c>
      <c r="Y81" s="98" t="b">
        <v>0</v>
      </c>
      <c r="Z81" s="134" t="str">
        <f>IF(Y81=TRUE,IF(Q81="","",IF(Q81="Не обслуживается","Не обслуживается",IF(Q81="Нет данных","Нет данных",VLOOKUP(AS24,'Тарифы ФФ'!$I$81:$J$89,2,0)))),"")</f>
        <v/>
      </c>
      <c r="AA81" s="133" t="str">
        <f t="shared" si="47"/>
        <v/>
      </c>
      <c r="AB81" s="168" t="b">
        <f t="shared" si="48"/>
        <v>1</v>
      </c>
      <c r="AC81" s="134" t="str">
        <f>IF(AB81=TRUE,IF(Q81="","",IF(Q81="Не обслуживается","Не обслуживается",IF(Q81="Нет данных","Нет данных",'Тарифы ФФ'!$J$79))),"")</f>
        <v/>
      </c>
      <c r="AD81" s="133" t="str">
        <f t="shared" si="49"/>
        <v/>
      </c>
      <c r="AE81" s="168" t="b">
        <f t="shared" si="50"/>
        <v>1</v>
      </c>
      <c r="AF81" s="134" t="str">
        <f>IF(AE81=TRUE,IF(Q81="","",IF(Q81="Не обслуживается","Не обслуживается",IF(Q81="Нет данных","Нет данных",VLOOKUP(AS24,'Тарифы ФФ'!$I$30:$J$38,2,0)))),"")</f>
        <v/>
      </c>
      <c r="AG81" s="135">
        <f t="shared" si="51"/>
        <v>0</v>
      </c>
      <c r="AH81" s="133" t="str">
        <f t="shared" si="52"/>
        <v/>
      </c>
      <c r="AI81" s="99"/>
      <c r="AJ81" s="17"/>
      <c r="AM81" s="24"/>
    </row>
    <row r="82" spans="2:39" ht="21" customHeight="1">
      <c r="B82" s="79"/>
      <c r="C82" s="80" t="s">
        <v>51</v>
      </c>
      <c r="D82" s="100">
        <f t="shared" ref="D82:G82" si="55">IF(D63="","",D63)</f>
        <v>50</v>
      </c>
      <c r="E82" s="100">
        <f t="shared" si="55"/>
        <v>50</v>
      </c>
      <c r="F82" s="100">
        <f t="shared" si="55"/>
        <v>19.989999999999998</v>
      </c>
      <c r="G82" s="100">
        <f t="shared" si="55"/>
        <v>9.99</v>
      </c>
      <c r="H82" s="106"/>
      <c r="I82" s="112"/>
      <c r="J82" s="112"/>
      <c r="K82" s="112"/>
      <c r="L82" s="82"/>
      <c r="M82" s="194" t="b">
        <v>1</v>
      </c>
      <c r="N82" s="99"/>
      <c r="P82" s="79"/>
      <c r="Q82" s="133" t="str">
        <f>IF(H82&gt;0,IF(AS25=0,"Нет данных",IF(AS25=10,"Не обслуживается",VLOOKUP(AS25,'Тарифы ФФ'!$I$16:$J$24,2,0))),"")</f>
        <v/>
      </c>
      <c r="R82" s="133" t="str">
        <f t="shared" si="44"/>
        <v/>
      </c>
      <c r="S82" s="95" t="b">
        <v>0</v>
      </c>
      <c r="T82" s="134" t="str">
        <f>IF(S82=TRUE,IF(Q82="","",IF(Q82="Не обслуживается","Не обслуживается",IF(Q82="Нет данных","Нет данных",'Тарифы ФФ'!$J$77))),"")</f>
        <v/>
      </c>
      <c r="U82" s="133" t="str">
        <f t="shared" si="45"/>
        <v/>
      </c>
      <c r="V82" s="98" t="b">
        <v>0</v>
      </c>
      <c r="W82" s="134" t="str">
        <f>IF(V82=TRUE,IF(Q82="","",IF(Q82="Не обслуживается","Не обслуживается",IF(Q82="Нет данных","Нет данных",'Тарифы ФФ'!$J$67))),"")</f>
        <v/>
      </c>
      <c r="X82" s="133" t="str">
        <f t="shared" si="46"/>
        <v/>
      </c>
      <c r="Y82" s="98" t="b">
        <v>0</v>
      </c>
      <c r="Z82" s="134" t="str">
        <f>IF(Y82=TRUE,IF(Q82="","",IF(Q82="Не обслуживается","Не обслуживается",IF(Q82="Нет данных","Нет данных",VLOOKUP(AS25,'Тарифы ФФ'!$I$81:$J$89,2,0)))),"")</f>
        <v/>
      </c>
      <c r="AA82" s="133" t="str">
        <f t="shared" si="47"/>
        <v/>
      </c>
      <c r="AB82" s="168" t="b">
        <f t="shared" si="48"/>
        <v>1</v>
      </c>
      <c r="AC82" s="134" t="str">
        <f>IF(AB82=TRUE,IF(Q82="","",IF(Q82="Не обслуживается","Не обслуживается",IF(Q82="Нет данных","Нет данных",'Тарифы ФФ'!$J$79))),"")</f>
        <v/>
      </c>
      <c r="AD82" s="133" t="str">
        <f t="shared" si="49"/>
        <v/>
      </c>
      <c r="AE82" s="168" t="b">
        <f t="shared" si="50"/>
        <v>1</v>
      </c>
      <c r="AF82" s="134" t="str">
        <f>IF(AE82=TRUE,IF(Q82="","",IF(Q82="Не обслуживается","Не обслуживается",IF(Q82="Нет данных","Нет данных",VLOOKUP(AS25,'Тарифы ФФ'!$I$30:$J$38,2,0)))),"")</f>
        <v/>
      </c>
      <c r="AG82" s="135">
        <f t="shared" si="51"/>
        <v>0</v>
      </c>
      <c r="AH82" s="133" t="str">
        <f t="shared" si="52"/>
        <v/>
      </c>
      <c r="AI82" s="99"/>
      <c r="AJ82" s="17"/>
      <c r="AM82" s="24"/>
    </row>
    <row r="83" spans="2:39" ht="21" customHeight="1">
      <c r="B83" s="79"/>
      <c r="C83" s="80" t="s">
        <v>52</v>
      </c>
      <c r="D83" s="100">
        <f t="shared" ref="D83:G83" si="56">IF(D64="","",D64)</f>
        <v>50</v>
      </c>
      <c r="E83" s="100">
        <f t="shared" si="56"/>
        <v>50</v>
      </c>
      <c r="F83" s="100">
        <f t="shared" si="56"/>
        <v>49.99</v>
      </c>
      <c r="G83" s="100">
        <f t="shared" si="56"/>
        <v>19.989999999999998</v>
      </c>
      <c r="H83" s="106"/>
      <c r="I83" s="112"/>
      <c r="J83" s="112"/>
      <c r="K83" s="112"/>
      <c r="L83" s="82"/>
      <c r="M83" s="110"/>
      <c r="N83" s="99"/>
      <c r="P83" s="79"/>
      <c r="Q83" s="133" t="str">
        <f>IF(H83&gt;0,IF(AS26=0,"Нет данных",IF(AS26=10,"Не обслуживается",VLOOKUP(AS26,'Тарифы ФФ'!$I$16:$J$24,2,0))),"")</f>
        <v/>
      </c>
      <c r="R83" s="133" t="str">
        <f t="shared" si="44"/>
        <v/>
      </c>
      <c r="S83" s="95" t="b">
        <v>0</v>
      </c>
      <c r="T83" s="134" t="str">
        <f>IF(S83=TRUE,IF(Q83="","",IF(Q83="Не обслуживается","Не обслуживается",IF(Q83="Нет данных","Нет данных",'Тарифы ФФ'!$J$77))),"")</f>
        <v/>
      </c>
      <c r="U83" s="133" t="str">
        <f t="shared" si="45"/>
        <v/>
      </c>
      <c r="V83" s="98" t="b">
        <v>0</v>
      </c>
      <c r="W83" s="134" t="str">
        <f>IF(V83=TRUE,IF(Q83="","",IF(Q83="Не обслуживается","Не обслуживается",IF(Q83="Нет данных","Нет данных",'Тарифы ФФ'!$J$67))),"")</f>
        <v/>
      </c>
      <c r="X83" s="133" t="str">
        <f t="shared" si="46"/>
        <v/>
      </c>
      <c r="Y83" s="98" t="b">
        <v>0</v>
      </c>
      <c r="Z83" s="134" t="str">
        <f>IF(Y83=TRUE,IF(Q83="","",IF(Q83="Не обслуживается","Не обслуживается",IF(Q83="Нет данных","Нет данных",VLOOKUP(AS26,'Тарифы ФФ'!$I$81:$J$89,2,0)))),"")</f>
        <v/>
      </c>
      <c r="AA83" s="133" t="str">
        <f t="shared" si="47"/>
        <v/>
      </c>
      <c r="AB83" s="168" t="b">
        <f t="shared" si="48"/>
        <v>1</v>
      </c>
      <c r="AC83" s="134" t="str">
        <f>IF(AB83=TRUE,IF(Q83="","",IF(Q83="Не обслуживается","Не обслуживается",IF(Q83="Нет данных","Нет данных",'Тарифы ФФ'!$J$79))),"")</f>
        <v/>
      </c>
      <c r="AD83" s="133" t="str">
        <f t="shared" si="49"/>
        <v/>
      </c>
      <c r="AE83" s="168" t="b">
        <f t="shared" si="50"/>
        <v>1</v>
      </c>
      <c r="AF83" s="134" t="str">
        <f>IF(AE83=TRUE,IF(Q83="","",IF(Q83="Не обслуживается","Не обслуживается",IF(Q83="Нет данных","Нет данных",VLOOKUP(AS26,'Тарифы ФФ'!$I$30:$J$38,2,0)))),"")</f>
        <v/>
      </c>
      <c r="AG83" s="135">
        <f t="shared" si="51"/>
        <v>0</v>
      </c>
      <c r="AH83" s="133" t="str">
        <f t="shared" si="52"/>
        <v/>
      </c>
      <c r="AI83" s="99"/>
      <c r="AJ83" s="17"/>
      <c r="AM83" s="24"/>
    </row>
    <row r="84" spans="2:39" ht="21" customHeight="1">
      <c r="B84" s="79"/>
      <c r="C84" s="80" t="s">
        <v>53</v>
      </c>
      <c r="D84" s="100">
        <f t="shared" ref="D84:G84" si="57">IF(D65="","",D65)</f>
        <v>50</v>
      </c>
      <c r="E84" s="100">
        <f t="shared" si="57"/>
        <v>100</v>
      </c>
      <c r="F84" s="100">
        <f t="shared" si="57"/>
        <v>49.99</v>
      </c>
      <c r="G84" s="100">
        <f t="shared" si="57"/>
        <v>24.99</v>
      </c>
      <c r="H84" s="106"/>
      <c r="I84" s="112"/>
      <c r="J84" s="112"/>
      <c r="K84" s="112"/>
      <c r="L84" s="82"/>
      <c r="M84" s="110"/>
      <c r="N84" s="99"/>
      <c r="P84" s="79"/>
      <c r="Q84" s="133" t="str">
        <f>IF(H84&gt;0,IF(AS27=0,"Нет данных",IF(AS27=10,"Не обслуживается",VLOOKUP(AS27,'Тарифы ФФ'!$I$16:$J$24,2,0))),"")</f>
        <v/>
      </c>
      <c r="R84" s="133" t="str">
        <f t="shared" si="44"/>
        <v/>
      </c>
      <c r="S84" s="95" t="b">
        <v>0</v>
      </c>
      <c r="T84" s="134" t="str">
        <f>IF(S84=TRUE,IF(Q84="","",IF(Q84="Не обслуживается","Не обслуживается",IF(Q84="Нет данных","Нет данных",'Тарифы ФФ'!$J$77))),"")</f>
        <v/>
      </c>
      <c r="U84" s="133" t="str">
        <f t="shared" si="45"/>
        <v/>
      </c>
      <c r="V84" s="98" t="b">
        <v>0</v>
      </c>
      <c r="W84" s="134" t="str">
        <f>IF(V84=TRUE,IF(Q84="","",IF(Q84="Не обслуживается","Не обслуживается",IF(Q84="Нет данных","Нет данных",'Тарифы ФФ'!$J$67))),"")</f>
        <v/>
      </c>
      <c r="X84" s="133" t="str">
        <f t="shared" si="46"/>
        <v/>
      </c>
      <c r="Y84" s="98" t="b">
        <v>0</v>
      </c>
      <c r="Z84" s="134" t="str">
        <f>IF(Y84=TRUE,IF(Q84="","",IF(Q84="Не обслуживается","Не обслуживается",IF(Q84="Нет данных","Нет данных",VLOOKUP(AS27,'Тарифы ФФ'!$I$81:$J$89,2,0)))),"")</f>
        <v/>
      </c>
      <c r="AA84" s="133" t="str">
        <f t="shared" si="47"/>
        <v/>
      </c>
      <c r="AB84" s="168" t="b">
        <f t="shared" si="48"/>
        <v>1</v>
      </c>
      <c r="AC84" s="134" t="str">
        <f>IF(AB84=TRUE,IF(Q84="","",IF(Q84="Не обслуживается","Не обслуживается",IF(Q84="Нет данных","Нет данных",'Тарифы ФФ'!$J$79))),"")</f>
        <v/>
      </c>
      <c r="AD84" s="133" t="str">
        <f t="shared" si="49"/>
        <v/>
      </c>
      <c r="AE84" s="168" t="b">
        <f t="shared" si="50"/>
        <v>1</v>
      </c>
      <c r="AF84" s="134" t="str">
        <f>IF(AE84=TRUE,IF(Q84="","",IF(Q84="Не обслуживается","Не обслуживается",IF(Q84="Нет данных","Нет данных",VLOOKUP(AS27,'Тарифы ФФ'!$I$30:$J$38,2,0)))),"")</f>
        <v/>
      </c>
      <c r="AG84" s="135">
        <f t="shared" si="51"/>
        <v>0</v>
      </c>
      <c r="AH84" s="133" t="str">
        <f t="shared" si="52"/>
        <v/>
      </c>
      <c r="AI84" s="99"/>
      <c r="AJ84" s="17"/>
      <c r="AM84" s="24"/>
    </row>
    <row r="85" spans="2:39" ht="21" customHeight="1">
      <c r="B85" s="79"/>
      <c r="C85" s="80" t="s">
        <v>54</v>
      </c>
      <c r="D85" s="100">
        <f t="shared" ref="D85:G85" si="58">IF(D66="","",D66)</f>
        <v>100</v>
      </c>
      <c r="E85" s="100">
        <f t="shared" si="58"/>
        <v>100</v>
      </c>
      <c r="F85" s="100">
        <f t="shared" si="58"/>
        <v>69.989999999999995</v>
      </c>
      <c r="G85" s="100">
        <f t="shared" si="58"/>
        <v>49.99</v>
      </c>
      <c r="H85" s="106"/>
      <c r="J85" s="112"/>
      <c r="K85" s="112"/>
      <c r="L85" s="82"/>
      <c r="M85" s="110"/>
      <c r="N85" s="99"/>
      <c r="P85" s="79"/>
      <c r="Q85" s="133" t="str">
        <f>IF(H85&gt;0,IF(AS28=0,"Нет данных",IF(AS28=10,"Не обслуживается",VLOOKUP(AS28,'Тарифы ФФ'!$I$16:$J$24,2,0))),"")</f>
        <v/>
      </c>
      <c r="R85" s="133" t="str">
        <f t="shared" si="44"/>
        <v/>
      </c>
      <c r="S85" s="95" t="b">
        <v>0</v>
      </c>
      <c r="T85" s="134" t="str">
        <f>IF(S85=TRUE,IF(Q85="","",IF(Q85="Не обслуживается","Не обслуживается",IF(Q85="Нет данных","Нет данных",'Тарифы ФФ'!$J$77))),"")</f>
        <v/>
      </c>
      <c r="U85" s="133" t="str">
        <f t="shared" si="45"/>
        <v/>
      </c>
      <c r="V85" s="98" t="b">
        <v>0</v>
      </c>
      <c r="W85" s="134" t="str">
        <f>IF(V85=TRUE,IF(Q85="","",IF(Q85="Не обслуживается","Не обслуживается",IF(Q85="Нет данных","Нет данных",'Тарифы ФФ'!$J$67))),"")</f>
        <v/>
      </c>
      <c r="X85" s="133" t="str">
        <f t="shared" si="46"/>
        <v/>
      </c>
      <c r="Y85" s="98" t="b">
        <v>0</v>
      </c>
      <c r="Z85" s="134" t="str">
        <f>IF(Y85=TRUE,IF(Q85="","",IF(Q85="Не обслуживается","Не обслуживается",IF(Q85="Нет данных","Нет данных",VLOOKUP(AS28,'Тарифы ФФ'!$I$81:$J$89,2,0)))),"")</f>
        <v/>
      </c>
      <c r="AA85" s="133" t="str">
        <f t="shared" si="47"/>
        <v/>
      </c>
      <c r="AB85" s="168" t="b">
        <f t="shared" si="48"/>
        <v>1</v>
      </c>
      <c r="AC85" s="134" t="str">
        <f>IF(AB85=TRUE,IF(Q85="","",IF(Q85="Не обслуживается","Не обслуживается",IF(Q85="Нет данных","Нет данных",'Тарифы ФФ'!$J$79))),"")</f>
        <v/>
      </c>
      <c r="AD85" s="133" t="str">
        <f t="shared" si="49"/>
        <v/>
      </c>
      <c r="AE85" s="168" t="b">
        <f t="shared" si="50"/>
        <v>1</v>
      </c>
      <c r="AF85" s="134" t="str">
        <f>IF(AE85=TRUE,IF(Q85="","",IF(Q85="Не обслуживается","Не обслуживается",IF(Q85="Нет данных","Нет данных",VLOOKUP(AS28,'Тарифы ФФ'!$I$30:$J$38,2,0)))),"")</f>
        <v/>
      </c>
      <c r="AG85" s="135">
        <f t="shared" si="51"/>
        <v>0</v>
      </c>
      <c r="AH85" s="133" t="str">
        <f t="shared" si="52"/>
        <v/>
      </c>
      <c r="AI85" s="99"/>
      <c r="AJ85" s="141"/>
      <c r="AK85" s="126"/>
      <c r="AL85" s="126"/>
      <c r="AM85" s="24"/>
    </row>
    <row r="86" spans="2:39" ht="21" customHeight="1">
      <c r="B86" s="79"/>
      <c r="C86" s="80" t="s">
        <v>55</v>
      </c>
      <c r="D86" s="100">
        <f t="shared" ref="D86:G86" si="59">IF(D67="","",D67)</f>
        <v>100</v>
      </c>
      <c r="E86" s="100">
        <f t="shared" si="59"/>
        <v>100</v>
      </c>
      <c r="F86" s="100">
        <f t="shared" si="59"/>
        <v>100</v>
      </c>
      <c r="G86" s="100">
        <f t="shared" si="59"/>
        <v>100</v>
      </c>
      <c r="H86" s="106"/>
      <c r="I86" s="112"/>
      <c r="J86" s="112"/>
      <c r="K86" s="112"/>
      <c r="L86" s="82"/>
      <c r="M86" s="110"/>
      <c r="N86" s="99"/>
      <c r="P86" s="79"/>
      <c r="Q86" s="133" t="str">
        <f>IF(H86&gt;0,IF(AS29=0,"Нет данных",IF(AS29=10,"Не обслуживается",VLOOKUP(AS29,'Тарифы ФФ'!$I$16:$J$24,2,0))),"")</f>
        <v/>
      </c>
      <c r="R86" s="133" t="str">
        <f t="shared" si="44"/>
        <v/>
      </c>
      <c r="S86" s="95" t="b">
        <v>0</v>
      </c>
      <c r="T86" s="134" t="str">
        <f>IF(S86=TRUE,IF(Q86="","",IF(Q86="Не обслуживается","Не обслуживается",IF(Q86="Нет данных","Нет данных",'Тарифы ФФ'!$J$77))),"")</f>
        <v/>
      </c>
      <c r="U86" s="133" t="str">
        <f t="shared" si="45"/>
        <v/>
      </c>
      <c r="V86" s="98" t="b">
        <v>0</v>
      </c>
      <c r="W86" s="134" t="str">
        <f>IF(V86=TRUE,IF(Q86="","",IF(Q86="Не обслуживается","Не обслуживается",IF(Q86="Нет данных","Нет данных",'Тарифы ФФ'!$J$67))),"")</f>
        <v/>
      </c>
      <c r="X86" s="133" t="str">
        <f t="shared" si="46"/>
        <v/>
      </c>
      <c r="Y86" s="98" t="b">
        <v>0</v>
      </c>
      <c r="Z86" s="134" t="str">
        <f>IF(Y86=TRUE,IF(Q86="","",IF(Q86="Не обслуживается","Не обслуживается",IF(Q86="Нет данных","Нет данных",VLOOKUP(AS29,'Тарифы ФФ'!$I$81:$J$89,2,0)))),"")</f>
        <v/>
      </c>
      <c r="AA86" s="133" t="str">
        <f t="shared" si="47"/>
        <v/>
      </c>
      <c r="AB86" s="168" t="b">
        <f t="shared" si="48"/>
        <v>1</v>
      </c>
      <c r="AC86" s="134" t="str">
        <f>IF(AB86=TRUE,IF(Q86="","",IF(Q86="Не обслуживается","Не обслуживается",IF(Q86="Нет данных","Нет данных",'Тарифы ФФ'!$J$79))),"")</f>
        <v/>
      </c>
      <c r="AD86" s="133" t="str">
        <f t="shared" si="49"/>
        <v/>
      </c>
      <c r="AE86" s="168" t="b">
        <f t="shared" si="50"/>
        <v>1</v>
      </c>
      <c r="AF86" s="134" t="str">
        <f>IF(AE86=TRUE,IF(Q86="","",IF(Q86="Не обслуживается","Не обслуживается",IF(Q86="Нет данных","Нет данных",VLOOKUP(AS29,'Тарифы ФФ'!$I$30:$J$38,2,0)))),"")</f>
        <v/>
      </c>
      <c r="AG86" s="135">
        <f t="shared" si="51"/>
        <v>0</v>
      </c>
      <c r="AH86" s="133" t="str">
        <f t="shared" si="52"/>
        <v/>
      </c>
      <c r="AI86" s="99"/>
      <c r="AJ86" s="141"/>
      <c r="AK86" s="126"/>
      <c r="AL86" s="126"/>
      <c r="AM86" s="24"/>
    </row>
    <row r="87" spans="2:39" ht="21" customHeight="1">
      <c r="B87" s="79"/>
      <c r="C87" s="80" t="s">
        <v>56</v>
      </c>
      <c r="D87" s="100">
        <f t="shared" ref="D87:G87" si="60">IF(D68="","",D68)</f>
        <v>100</v>
      </c>
      <c r="E87" s="100">
        <f t="shared" si="60"/>
        <v>100</v>
      </c>
      <c r="F87" s="100">
        <f t="shared" si="60"/>
        <v>100</v>
      </c>
      <c r="G87" s="100">
        <f t="shared" si="60"/>
        <v>100</v>
      </c>
      <c r="H87" s="106"/>
      <c r="I87" s="112"/>
      <c r="J87" s="112"/>
      <c r="K87" s="112"/>
      <c r="L87" s="82"/>
      <c r="M87" s="110"/>
      <c r="N87" s="99"/>
      <c r="P87" s="79"/>
      <c r="Q87" s="133" t="str">
        <f>IF(H87&gt;0,IF(AS30=0,"Нет данных",IF(AS30=10,"Не обслуживается",VLOOKUP(AS30,'Тарифы ФФ'!$I$16:$J$24,2,0))),"")</f>
        <v/>
      </c>
      <c r="R87" s="133" t="str">
        <f t="shared" si="44"/>
        <v/>
      </c>
      <c r="S87" s="95" t="b">
        <v>0</v>
      </c>
      <c r="T87" s="134" t="str">
        <f>IF(S87=TRUE,IF(Q87="","",IF(Q87="Не обслуживается","Не обслуживается",IF(Q87="Нет данных","Нет данных",'Тарифы ФФ'!$J$77))),"")</f>
        <v/>
      </c>
      <c r="U87" s="133" t="str">
        <f t="shared" si="45"/>
        <v/>
      </c>
      <c r="V87" s="98" t="b">
        <v>0</v>
      </c>
      <c r="W87" s="134" t="str">
        <f>IF(V87=TRUE,IF(Q87="","",IF(Q87="Не обслуживается","Не обслуживается",IF(Q87="Нет данных","Нет данных",'Тарифы ФФ'!$J$67))),"")</f>
        <v/>
      </c>
      <c r="X87" s="133" t="str">
        <f t="shared" si="46"/>
        <v/>
      </c>
      <c r="Y87" s="98" t="b">
        <v>0</v>
      </c>
      <c r="Z87" s="134" t="str">
        <f>IF(Y87=TRUE,IF(Q87="","",IF(Q87="Не обслуживается","Не обслуживается",IF(Q87="Нет данных","Нет данных",VLOOKUP(AS30,'Тарифы ФФ'!$I$81:$J$89,2,0)))),"")</f>
        <v/>
      </c>
      <c r="AA87" s="133" t="str">
        <f t="shared" si="47"/>
        <v/>
      </c>
      <c r="AB87" s="168" t="b">
        <f t="shared" si="48"/>
        <v>1</v>
      </c>
      <c r="AC87" s="134" t="str">
        <f>IF(AB87=TRUE,IF(Q87="","",IF(Q87="Не обслуживается","Не обслуживается",IF(Q87="Нет данных","Нет данных",'Тарифы ФФ'!$J$79))),"")</f>
        <v/>
      </c>
      <c r="AD87" s="133" t="str">
        <f t="shared" si="49"/>
        <v/>
      </c>
      <c r="AE87" s="168" t="b">
        <f t="shared" si="50"/>
        <v>1</v>
      </c>
      <c r="AF87" s="134" t="str">
        <f>IF(AE87=TRUE,IF(Q87="","",IF(Q87="Не обслуживается","Не обслуживается",IF(Q87="Нет данных","Нет данных",VLOOKUP(AS30,'Тарифы ФФ'!$I$30:$J$38,2,0)))),"")</f>
        <v/>
      </c>
      <c r="AG87" s="135">
        <f t="shared" si="51"/>
        <v>0</v>
      </c>
      <c r="AH87" s="133" t="str">
        <f t="shared" si="52"/>
        <v/>
      </c>
      <c r="AI87" s="99"/>
      <c r="AJ87" s="141"/>
      <c r="AK87" s="126"/>
      <c r="AL87" s="126"/>
      <c r="AM87" s="24"/>
    </row>
    <row r="88" spans="2:39" ht="19.05" customHeight="1">
      <c r="B88" s="79"/>
      <c r="C88" s="82"/>
      <c r="D88" s="82"/>
      <c r="E88" s="82"/>
      <c r="F88" s="82"/>
      <c r="G88" s="82"/>
      <c r="H88" s="85">
        <f>SUM(H78:H87)</f>
        <v>100</v>
      </c>
      <c r="I88" s="82"/>
      <c r="J88" s="82"/>
      <c r="K88" s="82"/>
      <c r="L88" s="82"/>
      <c r="M88" s="110" t="b">
        <v>0</v>
      </c>
      <c r="N88" s="99"/>
      <c r="P88" s="79"/>
      <c r="Q88" s="69" t="s">
        <v>61</v>
      </c>
      <c r="R88" s="89">
        <f>SUM(R78:R87)</f>
        <v>1390</v>
      </c>
      <c r="S88" s="89"/>
      <c r="T88" s="69" t="s">
        <v>61</v>
      </c>
      <c r="U88" s="89">
        <f>SUM(U78:U87)</f>
        <v>0</v>
      </c>
      <c r="V88" s="89"/>
      <c r="W88" s="69" t="s">
        <v>61</v>
      </c>
      <c r="X88" s="89">
        <f>SUM(X78:X87)</f>
        <v>0</v>
      </c>
      <c r="Y88" s="89"/>
      <c r="Z88" s="69" t="s">
        <v>61</v>
      </c>
      <c r="AA88" s="89">
        <f>SUM(AA78:AA87)</f>
        <v>2000</v>
      </c>
      <c r="AB88" s="89"/>
      <c r="AC88" s="69" t="s">
        <v>61</v>
      </c>
      <c r="AD88" s="89">
        <f>SUM(AD78:AD87)</f>
        <v>400</v>
      </c>
      <c r="AE88" s="89"/>
      <c r="AF88" s="69" t="s">
        <v>61</v>
      </c>
      <c r="AG88" s="69"/>
      <c r="AH88" s="89">
        <f>SUM(AH78:AH87)</f>
        <v>1210</v>
      </c>
      <c r="AI88" s="99"/>
      <c r="AJ88" s="17"/>
      <c r="AM88" s="24"/>
    </row>
    <row r="89" spans="2:39" ht="15" thickBot="1">
      <c r="B89" s="71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3"/>
      <c r="P89" s="71"/>
      <c r="Q89" s="72"/>
      <c r="R89" s="90"/>
      <c r="S89" s="90"/>
      <c r="T89" s="90"/>
      <c r="U89" s="90"/>
      <c r="V89" s="90"/>
      <c r="W89" s="90"/>
      <c r="X89" s="90"/>
      <c r="Y89" s="90"/>
      <c r="Z89" s="72"/>
      <c r="AA89" s="90"/>
      <c r="AB89" s="72"/>
      <c r="AC89" s="72"/>
      <c r="AD89" s="90"/>
      <c r="AE89" s="72"/>
      <c r="AF89" s="72"/>
      <c r="AG89" s="72"/>
      <c r="AH89" s="90"/>
      <c r="AI89" s="73"/>
      <c r="AJ89" s="17"/>
      <c r="AL89" s="30"/>
    </row>
    <row r="90" spans="2:39" ht="15" thickBot="1"/>
    <row r="91" spans="2:39">
      <c r="B91" s="216"/>
      <c r="C91" s="217" t="s">
        <v>179</v>
      </c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3"/>
      <c r="P91" s="216"/>
      <c r="Q91" s="217" t="s">
        <v>187</v>
      </c>
      <c r="R91" s="62"/>
      <c r="S91" s="62"/>
      <c r="T91" s="62"/>
      <c r="U91" s="62"/>
      <c r="V91" s="63"/>
    </row>
    <row r="92" spans="2:39" ht="22.05" customHeight="1">
      <c r="B92" s="64"/>
      <c r="C92" s="76" t="s">
        <v>135</v>
      </c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6"/>
      <c r="P92" s="64"/>
      <c r="Q92" s="76" t="s">
        <v>134</v>
      </c>
      <c r="R92" s="65"/>
      <c r="S92" s="65"/>
      <c r="T92" s="65"/>
      <c r="U92" s="65"/>
      <c r="V92" s="66"/>
    </row>
    <row r="93" spans="2:39" ht="10.050000000000001" customHeight="1">
      <c r="B93" s="64"/>
      <c r="C93" s="76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65"/>
      <c r="O93" s="17"/>
      <c r="P93" s="64"/>
      <c r="Q93" s="65"/>
      <c r="R93" s="65"/>
      <c r="S93" s="65"/>
      <c r="T93" s="65"/>
      <c r="U93" s="65"/>
      <c r="V93" s="66"/>
    </row>
    <row r="94" spans="2:39" ht="18">
      <c r="B94" s="64"/>
      <c r="C94" s="78" t="s">
        <v>131</v>
      </c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6"/>
      <c r="P94" s="64"/>
      <c r="Q94" s="65"/>
      <c r="R94" s="65"/>
      <c r="S94" s="65"/>
      <c r="T94" s="65"/>
      <c r="U94" s="65"/>
      <c r="V94" s="66"/>
    </row>
    <row r="95" spans="2:39" ht="19.05" customHeight="1">
      <c r="B95" s="64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6"/>
      <c r="P95" s="64"/>
      <c r="Q95" s="88" t="s">
        <v>33</v>
      </c>
      <c r="R95" s="88" t="s">
        <v>170</v>
      </c>
      <c r="S95" s="65"/>
      <c r="T95" s="88" t="s">
        <v>45</v>
      </c>
      <c r="U95" s="65"/>
      <c r="V95" s="66"/>
    </row>
    <row r="96" spans="2:39" ht="21" customHeight="1">
      <c r="B96" s="79"/>
      <c r="C96" s="82"/>
      <c r="D96" s="82"/>
      <c r="E96" s="82"/>
      <c r="F96" s="82"/>
      <c r="G96" s="82"/>
      <c r="H96" s="82"/>
      <c r="I96" s="82"/>
      <c r="J96" s="82"/>
      <c r="K96" s="82"/>
      <c r="L96" s="65"/>
      <c r="M96" s="91">
        <v>9</v>
      </c>
      <c r="N96" s="99"/>
      <c r="P96" s="64"/>
      <c r="Q96" s="135">
        <f>IF(M96&gt;0,VLOOKUP(M96,'Тарифы ФФ'!F95:G112,2,0),"")</f>
        <v>1600</v>
      </c>
      <c r="R96" s="135">
        <f>IF(M96&gt;0,VLOOKUP(M96,'Тарифы ФФ'!F95:H112,3,0),"")</f>
        <v>1600</v>
      </c>
      <c r="S96" s="65"/>
      <c r="T96" s="135">
        <f>IF(Q96="-","",IF(G99&gt;0,IF(Q96*G99&lt;R96,R96,Q96*G99),"-"))</f>
        <v>1600</v>
      </c>
      <c r="U96" s="65"/>
      <c r="V96" s="66"/>
    </row>
    <row r="97" spans="2:22">
      <c r="B97" s="79"/>
      <c r="C97" s="82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99"/>
      <c r="P97" s="64"/>
      <c r="Q97" s="65"/>
      <c r="R97" s="65"/>
      <c r="S97" s="65"/>
      <c r="T97" s="89">
        <f>SUM(T96)</f>
        <v>1600</v>
      </c>
      <c r="U97" s="65"/>
      <c r="V97" s="66"/>
    </row>
    <row r="98" spans="2:22" ht="22.05" customHeight="1">
      <c r="B98" s="79"/>
      <c r="C98" s="65"/>
      <c r="D98" s="82"/>
      <c r="E98" s="82"/>
      <c r="F98" s="82"/>
      <c r="G98" s="85" t="s">
        <v>133</v>
      </c>
      <c r="H98" s="82"/>
      <c r="I98" s="82"/>
      <c r="J98" s="82"/>
      <c r="K98" s="82"/>
      <c r="L98" s="82"/>
      <c r="M98" s="82"/>
      <c r="N98" s="99"/>
      <c r="P98" s="64"/>
      <c r="Q98" s="65"/>
      <c r="R98" s="65"/>
      <c r="S98" s="65"/>
      <c r="T98" s="65"/>
      <c r="U98" s="65"/>
      <c r="V98" s="66"/>
    </row>
    <row r="99" spans="2:22" ht="18">
      <c r="B99" s="79"/>
      <c r="C99" s="132" t="s">
        <v>132</v>
      </c>
      <c r="D99" s="82"/>
      <c r="E99" s="82"/>
      <c r="F99" s="82"/>
      <c r="G99" s="111">
        <v>1</v>
      </c>
      <c r="H99" s="82"/>
      <c r="I99" s="82"/>
      <c r="J99" s="82"/>
      <c r="K99" s="82"/>
      <c r="L99" s="82"/>
      <c r="M99" s="82"/>
      <c r="N99" s="99"/>
      <c r="P99" s="64"/>
      <c r="Q99" s="65"/>
      <c r="R99" s="65"/>
      <c r="S99" s="65"/>
      <c r="T99" s="65"/>
      <c r="U99" s="65"/>
      <c r="V99" s="66"/>
    </row>
    <row r="100" spans="2:22">
      <c r="B100" s="79"/>
      <c r="C100" s="82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99"/>
      <c r="P100" s="64"/>
      <c r="Q100" s="65"/>
      <c r="R100" s="65"/>
      <c r="S100" s="65"/>
      <c r="T100" s="65"/>
      <c r="U100" s="65"/>
      <c r="V100" s="66"/>
    </row>
    <row r="101" spans="2:22">
      <c r="B101" s="79"/>
      <c r="C101" s="82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99"/>
      <c r="P101" s="64"/>
      <c r="Q101" s="65"/>
      <c r="R101" s="65"/>
      <c r="S101" s="65"/>
      <c r="T101" s="65"/>
      <c r="U101" s="65"/>
      <c r="V101" s="66"/>
    </row>
    <row r="102" spans="2:22">
      <c r="B102" s="79"/>
      <c r="C102" s="166" t="s">
        <v>171</v>
      </c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99"/>
      <c r="P102" s="64"/>
      <c r="Q102" s="167" t="str">
        <f>IF(T96="-","* Не указано кол-во паллет для расчета стоимости услуг","")</f>
        <v/>
      </c>
      <c r="R102" s="65"/>
      <c r="S102" s="65"/>
      <c r="T102" s="65"/>
      <c r="U102" s="65"/>
      <c r="V102" s="66"/>
    </row>
    <row r="103" spans="2:22" ht="15" thickBot="1">
      <c r="B103" s="71"/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3"/>
      <c r="P103" s="71"/>
      <c r="Q103" s="72"/>
      <c r="R103" s="72"/>
      <c r="S103" s="72"/>
      <c r="T103" s="72"/>
      <c r="U103" s="72"/>
      <c r="V103" s="73"/>
    </row>
    <row r="104" spans="2:22" ht="15" thickBot="1"/>
    <row r="105" spans="2:22">
      <c r="B105" s="216"/>
      <c r="C105" s="217" t="s">
        <v>180</v>
      </c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3"/>
      <c r="P105" s="216"/>
      <c r="Q105" s="217" t="s">
        <v>188</v>
      </c>
      <c r="R105" s="62"/>
      <c r="S105" s="62"/>
      <c r="T105" s="62"/>
      <c r="U105" s="62"/>
      <c r="V105" s="63"/>
    </row>
    <row r="106" spans="2:22" ht="21">
      <c r="B106" s="64"/>
      <c r="C106" s="76" t="s">
        <v>67</v>
      </c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6"/>
      <c r="P106" s="64"/>
      <c r="Q106" s="76" t="s">
        <v>137</v>
      </c>
      <c r="R106" s="65"/>
      <c r="S106" s="65"/>
      <c r="T106" s="65"/>
      <c r="U106" s="65"/>
      <c r="V106" s="66"/>
    </row>
    <row r="107" spans="2:22" ht="10.050000000000001" customHeight="1">
      <c r="B107" s="64"/>
      <c r="C107" s="76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65"/>
      <c r="O107" s="17"/>
      <c r="P107" s="64"/>
      <c r="Q107" s="65"/>
      <c r="R107" s="65"/>
      <c r="S107" s="65"/>
      <c r="T107" s="65"/>
      <c r="U107" s="65"/>
      <c r="V107" s="66"/>
    </row>
    <row r="108" spans="2:22" ht="18">
      <c r="B108" s="64"/>
      <c r="C108" s="78" t="s">
        <v>136</v>
      </c>
      <c r="D108" s="65"/>
      <c r="E108" s="65"/>
      <c r="F108" s="65"/>
      <c r="G108" s="65"/>
      <c r="H108" s="65"/>
      <c r="I108" s="65"/>
      <c r="J108" s="65"/>
      <c r="K108" s="65"/>
      <c r="L108" s="226" t="s">
        <v>140</v>
      </c>
      <c r="M108" s="226"/>
      <c r="N108" s="66"/>
      <c r="P108" s="64"/>
      <c r="Q108" s="222" t="s">
        <v>141</v>
      </c>
      <c r="R108" s="222"/>
      <c r="S108" s="65"/>
      <c r="T108" s="222" t="s">
        <v>143</v>
      </c>
      <c r="U108" s="222"/>
      <c r="V108" s="66"/>
    </row>
    <row r="109" spans="2:22">
      <c r="B109" s="64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6"/>
      <c r="P109" s="64"/>
      <c r="Q109" s="225" t="s">
        <v>145</v>
      </c>
      <c r="R109" s="225"/>
      <c r="S109" s="65"/>
      <c r="T109" s="224" t="s">
        <v>142</v>
      </c>
      <c r="U109" s="224"/>
      <c r="V109" s="66"/>
    </row>
    <row r="110" spans="2:22" ht="28.8">
      <c r="B110" s="79"/>
      <c r="C110" s="80" t="s">
        <v>57</v>
      </c>
      <c r="D110" s="81" t="s">
        <v>20</v>
      </c>
      <c r="E110" s="81" t="s">
        <v>21</v>
      </c>
      <c r="F110" s="81" t="s">
        <v>22</v>
      </c>
      <c r="G110" s="81" t="s">
        <v>43</v>
      </c>
      <c r="H110" s="81" t="s">
        <v>138</v>
      </c>
      <c r="I110" s="81" t="s">
        <v>144</v>
      </c>
      <c r="J110" s="65"/>
      <c r="K110" s="65"/>
      <c r="L110" s="221" t="s">
        <v>117</v>
      </c>
      <c r="M110" s="221"/>
      <c r="N110" s="99"/>
      <c r="P110" s="79"/>
      <c r="Q110" s="88" t="s">
        <v>33</v>
      </c>
      <c r="R110" s="88" t="s">
        <v>45</v>
      </c>
      <c r="S110" s="88"/>
      <c r="T110" s="88" t="s">
        <v>33</v>
      </c>
      <c r="U110" s="88" t="s">
        <v>45</v>
      </c>
      <c r="V110" s="99"/>
    </row>
    <row r="111" spans="2:22" ht="19.95" customHeight="1">
      <c r="B111" s="79"/>
      <c r="C111" s="80" t="s">
        <v>17</v>
      </c>
      <c r="D111" s="100">
        <f>IF(D78="","",D78)</f>
        <v>10</v>
      </c>
      <c r="E111" s="100">
        <f t="shared" ref="E111:G111" si="61">IF(E78="","",E78)</f>
        <v>10</v>
      </c>
      <c r="F111" s="100">
        <f t="shared" si="61"/>
        <v>9.99</v>
      </c>
      <c r="G111" s="100">
        <f t="shared" si="61"/>
        <v>0.49</v>
      </c>
      <c r="H111" s="106"/>
      <c r="I111" s="169"/>
      <c r="J111" s="65"/>
      <c r="K111" s="65"/>
      <c r="L111" s="109" t="s">
        <v>97</v>
      </c>
      <c r="M111" s="111">
        <v>1</v>
      </c>
      <c r="N111" s="99"/>
      <c r="P111" s="79"/>
      <c r="Q111" s="133" t="str">
        <f>IF(H111&gt;0,IF(AS21=0,"Нет данных",IF(AS21=10,"Не обслуживается",VLOOKUP(AS21,'Тарифы ФФ'!$I$39:$J$47,2,0))),"")</f>
        <v/>
      </c>
      <c r="R111" s="133" t="str">
        <f>IFERROR(IF(H111&gt;0,Q111*H111,""),"")</f>
        <v/>
      </c>
      <c r="S111" s="95" t="b">
        <v>0</v>
      </c>
      <c r="T111" s="134" t="str">
        <f>IF(S111=TRUE,IF(Q111="","",IF(Q111="Не обслуживается","Не обслуживается",IF(Q111="Нет данных","Нет данных",VLOOKUP(AS21,'Тарифы ФФ'!$I$48:$J$56,2,0)))),"")</f>
        <v/>
      </c>
      <c r="U111" s="133" t="str">
        <f>IFERROR(IF(T111="","",T111*H111/$M$111),"")</f>
        <v/>
      </c>
      <c r="V111" s="99"/>
    </row>
    <row r="112" spans="2:22" ht="19.95" customHeight="1">
      <c r="B112" s="79"/>
      <c r="C112" s="80" t="s">
        <v>18</v>
      </c>
      <c r="D112" s="100">
        <f t="shared" ref="D112:G112" si="62">IF(D79="","",D79)</f>
        <v>20</v>
      </c>
      <c r="E112" s="100">
        <f t="shared" si="62"/>
        <v>20</v>
      </c>
      <c r="F112" s="100">
        <f t="shared" si="62"/>
        <v>9.99</v>
      </c>
      <c r="G112" s="100">
        <f t="shared" si="62"/>
        <v>1.49</v>
      </c>
      <c r="H112" s="106">
        <v>4</v>
      </c>
      <c r="I112" s="169"/>
      <c r="J112" s="65"/>
      <c r="K112" s="65"/>
      <c r="L112" s="137" t="s">
        <v>139</v>
      </c>
      <c r="M112" s="138">
        <f>IFERROR(IF(H121&gt;0,H121/M111,"0"),H121)</f>
        <v>4</v>
      </c>
      <c r="N112" s="99"/>
      <c r="P112" s="79"/>
      <c r="Q112" s="133">
        <f>IF(H112&gt;0,IF(AS22=0,"Нет данных",IF(AS22=10,"Не обслуживается",VLOOKUP(AS22,'Тарифы ФФ'!$I$39:$J$47,2,0))),"")</f>
        <v>13.3</v>
      </c>
      <c r="R112" s="133">
        <f t="shared" ref="R112:R120" si="63">IFERROR(IF(H112&gt;0,Q112*H112,""),"")</f>
        <v>53.2</v>
      </c>
      <c r="S112" s="95" t="b">
        <v>0</v>
      </c>
      <c r="T112" s="134" t="str">
        <f>IF(S112=TRUE,IF(Q112="","",IF(Q112="Не обслуживается","Не обслуживается",IF(Q112="Нет данных","Нет данных",VLOOKUP(AS22,'Тарифы ФФ'!$I$48:$J$56,2,0)))),"")</f>
        <v/>
      </c>
      <c r="U112" s="133" t="str">
        <f t="shared" ref="U112:U117" si="64">IFERROR(IF(T112="","",T112*H112/$M$111),"")</f>
        <v/>
      </c>
      <c r="V112" s="99"/>
    </row>
    <row r="113" spans="1:42" ht="19.95" customHeight="1">
      <c r="B113" s="79"/>
      <c r="C113" s="80" t="s">
        <v>19</v>
      </c>
      <c r="D113" s="100">
        <f t="shared" ref="D113:G113" si="65">IF(D80="","",D80)</f>
        <v>30</v>
      </c>
      <c r="E113" s="100">
        <f t="shared" si="65"/>
        <v>30</v>
      </c>
      <c r="F113" s="100">
        <f t="shared" si="65"/>
        <v>19.989999999999998</v>
      </c>
      <c r="G113" s="100">
        <f t="shared" si="65"/>
        <v>2.99</v>
      </c>
      <c r="H113" s="106"/>
      <c r="I113" s="169"/>
      <c r="J113" s="65"/>
      <c r="K113" s="65"/>
      <c r="L113" s="140" t="s">
        <v>118</v>
      </c>
      <c r="M113" s="77"/>
      <c r="N113" s="99"/>
      <c r="P113" s="79"/>
      <c r="Q113" s="133" t="str">
        <f>IF(H113&gt;0,IF(AS23=0,"Нет данных",IF(AS23=10,"Не обслуживается",VLOOKUP(AS23,'Тарифы ФФ'!$I$39:$J$47,2,0))),"")</f>
        <v/>
      </c>
      <c r="R113" s="133" t="str">
        <f t="shared" si="63"/>
        <v/>
      </c>
      <c r="S113" s="95" t="b">
        <v>0</v>
      </c>
      <c r="T113" s="134" t="str">
        <f>IF(S113=TRUE,IF(Q113="","",IF(Q113="Не обслуживается","Не обслуживается",IF(Q113="Нет данных","Нет данных",VLOOKUP(AS23,'Тарифы ФФ'!$I$48:$J$56,2,0)))),"")</f>
        <v/>
      </c>
      <c r="U113" s="133" t="str">
        <f t="shared" si="64"/>
        <v/>
      </c>
      <c r="V113" s="99"/>
    </row>
    <row r="114" spans="1:42" ht="19.95" customHeight="1">
      <c r="B114" s="79"/>
      <c r="C114" s="80" t="s">
        <v>50</v>
      </c>
      <c r="D114" s="100">
        <f t="shared" ref="D114:G114" si="66">IF(D81="","",D81)</f>
        <v>40</v>
      </c>
      <c r="E114" s="100">
        <f t="shared" si="66"/>
        <v>40</v>
      </c>
      <c r="F114" s="100">
        <f t="shared" si="66"/>
        <v>19.989999999999998</v>
      </c>
      <c r="G114" s="100">
        <f t="shared" si="66"/>
        <v>4.99</v>
      </c>
      <c r="H114" s="106"/>
      <c r="I114" s="169"/>
      <c r="J114" s="65"/>
      <c r="K114" s="65"/>
      <c r="L114" s="82"/>
      <c r="M114" s="82"/>
      <c r="N114" s="99"/>
      <c r="P114" s="79"/>
      <c r="Q114" s="133" t="str">
        <f>IF(H114&gt;0,IF(AS24=0,"Нет данных",IF(AS24=10,"Не обслуживается",VLOOKUP(AS24,'Тарифы ФФ'!$I$39:$J$47,2,0))),"")</f>
        <v/>
      </c>
      <c r="R114" s="133" t="str">
        <f t="shared" si="63"/>
        <v/>
      </c>
      <c r="S114" s="95" t="b">
        <v>0</v>
      </c>
      <c r="T114" s="134" t="str">
        <f>IF(S114=TRUE,IF(Q114="","",IF(Q114="Не обслуживается","Не обслуживается",IF(Q114="Нет данных","Нет данных",VLOOKUP(AS24,'Тарифы ФФ'!$I$48:$J$56,2,0)))),"")</f>
        <v/>
      </c>
      <c r="U114" s="133" t="str">
        <f t="shared" si="64"/>
        <v/>
      </c>
      <c r="V114" s="99"/>
    </row>
    <row r="115" spans="1:42" ht="19.95" customHeight="1">
      <c r="B115" s="79"/>
      <c r="C115" s="80" t="s">
        <v>51</v>
      </c>
      <c r="D115" s="100">
        <f t="shared" ref="D115:G115" si="67">IF(D82="","",D82)</f>
        <v>50</v>
      </c>
      <c r="E115" s="100">
        <f t="shared" si="67"/>
        <v>50</v>
      </c>
      <c r="F115" s="100">
        <f t="shared" si="67"/>
        <v>19.989999999999998</v>
      </c>
      <c r="G115" s="100">
        <f t="shared" si="67"/>
        <v>9.99</v>
      </c>
      <c r="H115" s="106"/>
      <c r="I115" s="169"/>
      <c r="J115" s="65"/>
      <c r="K115" s="65"/>
      <c r="L115" s="82"/>
      <c r="M115" s="142"/>
      <c r="N115" s="99"/>
      <c r="P115" s="79"/>
      <c r="Q115" s="133" t="str">
        <f>IF(H115&gt;0,IF(AS25=0,"Нет данных",IF(AS25=10,"Не обслуживается",VLOOKUP(AS25,'Тарифы ФФ'!$I$39:$J$47,2,0))),"")</f>
        <v/>
      </c>
      <c r="R115" s="133" t="str">
        <f t="shared" si="63"/>
        <v/>
      </c>
      <c r="S115" s="95" t="b">
        <v>0</v>
      </c>
      <c r="T115" s="134" t="str">
        <f>IF(S115=TRUE,IF(Q115="","",IF(Q115="Не обслуживается","Не обслуживается",IF(Q115="Нет данных","Нет данных",VLOOKUP(AS25,'Тарифы ФФ'!$I$48:$J$56,2,0)))),"")</f>
        <v/>
      </c>
      <c r="U115" s="133" t="str">
        <f t="shared" si="64"/>
        <v/>
      </c>
      <c r="V115" s="99"/>
    </row>
    <row r="116" spans="1:42" ht="19.95" customHeight="1">
      <c r="B116" s="79"/>
      <c r="C116" s="80" t="s">
        <v>52</v>
      </c>
      <c r="D116" s="100">
        <f t="shared" ref="D116:G116" si="68">IF(D83="","",D83)</f>
        <v>50</v>
      </c>
      <c r="E116" s="100">
        <f t="shared" si="68"/>
        <v>50</v>
      </c>
      <c r="F116" s="100">
        <f t="shared" si="68"/>
        <v>49.99</v>
      </c>
      <c r="G116" s="100">
        <f t="shared" si="68"/>
        <v>19.989999999999998</v>
      </c>
      <c r="H116" s="106"/>
      <c r="I116" s="169"/>
      <c r="J116" s="65"/>
      <c r="K116" s="65"/>
      <c r="L116" s="82"/>
      <c r="M116" s="110"/>
      <c r="N116" s="99"/>
      <c r="P116" s="79"/>
      <c r="Q116" s="133" t="str">
        <f>IF(H116&gt;0,IF(AS26=0,"Нет данных",IF(AS26=10,"Не обслуживается",VLOOKUP(AS26,'Тарифы ФФ'!$I$39:$J$47,2,0))),"")</f>
        <v/>
      </c>
      <c r="R116" s="133" t="str">
        <f t="shared" si="63"/>
        <v/>
      </c>
      <c r="S116" s="95" t="b">
        <v>0</v>
      </c>
      <c r="T116" s="134" t="str">
        <f>IF(S116=TRUE,IF(Q116="","",IF(Q116="Не обслуживается","Не обслуживается",IF(Q116="Нет данных","Нет данных",VLOOKUP(AS26,'Тарифы ФФ'!$I$48:$J$56,2,0)))),"")</f>
        <v/>
      </c>
      <c r="U116" s="133" t="str">
        <f t="shared" si="64"/>
        <v/>
      </c>
      <c r="V116" s="99"/>
    </row>
    <row r="117" spans="1:42" ht="19.95" customHeight="1">
      <c r="B117" s="79"/>
      <c r="C117" s="80" t="s">
        <v>53</v>
      </c>
      <c r="D117" s="100">
        <f t="shared" ref="D117:G117" si="69">IF(D84="","",D84)</f>
        <v>50</v>
      </c>
      <c r="E117" s="100">
        <f t="shared" si="69"/>
        <v>100</v>
      </c>
      <c r="F117" s="100">
        <f t="shared" si="69"/>
        <v>49.99</v>
      </c>
      <c r="G117" s="100">
        <f t="shared" si="69"/>
        <v>24.99</v>
      </c>
      <c r="H117" s="106"/>
      <c r="I117" s="169"/>
      <c r="J117" s="65"/>
      <c r="K117" s="65"/>
      <c r="L117" s="82"/>
      <c r="M117" s="110"/>
      <c r="N117" s="99"/>
      <c r="P117" s="79"/>
      <c r="Q117" s="133" t="str">
        <f>IF(H117&gt;0,IF(AS27=0,"Нет данных",IF(AS27=10,"Не обслуживается",VLOOKUP(AS27,'Тарифы ФФ'!$I$39:$J$47,2,0))),"")</f>
        <v/>
      </c>
      <c r="R117" s="133" t="str">
        <f t="shared" si="63"/>
        <v/>
      </c>
      <c r="S117" s="95" t="b">
        <v>0</v>
      </c>
      <c r="T117" s="134" t="str">
        <f>IF(S117=TRUE,IF(Q117="","",IF(Q117="Не обслуживается","Не обслуживается",IF(Q117="Нет данных","Нет данных",VLOOKUP(AS27,'Тарифы ФФ'!$I$48:$J$56,2,0)))),"")</f>
        <v/>
      </c>
      <c r="U117" s="133" t="str">
        <f t="shared" si="64"/>
        <v/>
      </c>
      <c r="V117" s="99"/>
    </row>
    <row r="118" spans="1:42" ht="19.95" customHeight="1">
      <c r="B118" s="79"/>
      <c r="C118" s="80" t="s">
        <v>54</v>
      </c>
      <c r="D118" s="100">
        <f t="shared" ref="D118:G118" si="70">IF(D85="","",D85)</f>
        <v>100</v>
      </c>
      <c r="E118" s="100">
        <f t="shared" si="70"/>
        <v>100</v>
      </c>
      <c r="F118" s="100">
        <f t="shared" si="70"/>
        <v>69.989999999999995</v>
      </c>
      <c r="G118" s="100">
        <f t="shared" si="70"/>
        <v>49.99</v>
      </c>
      <c r="H118" s="106"/>
      <c r="I118" s="169"/>
      <c r="J118" s="65"/>
      <c r="K118" s="65"/>
      <c r="L118" s="82"/>
      <c r="M118" s="110"/>
      <c r="N118" s="99"/>
      <c r="P118" s="79"/>
      <c r="Q118" s="133" t="str">
        <f>IF(H118&gt;0,IF(AS28=0,"Нет данных",IF(AS28=10,"Не обслуживается",VLOOKUP(AS28,'Тарифы ФФ'!$I$39:$J$47,2,0))),"")</f>
        <v/>
      </c>
      <c r="R118" s="133" t="str">
        <f t="shared" si="63"/>
        <v/>
      </c>
      <c r="S118" s="95" t="b">
        <v>0</v>
      </c>
      <c r="T118" s="134" t="str">
        <f>IF(S118=TRUE,IF(Q118="","",IF(Q118="Не обслуживается","Не обслуживается",IF(Q118="Нет данных","Нет данных",VLOOKUP(AS28,'Тарифы ФФ'!$I$48:$J$56,2,0)))),"")</f>
        <v/>
      </c>
      <c r="U118" s="133" t="str">
        <f>IFERROR(IF(T118="","",T118*H118),"")</f>
        <v/>
      </c>
      <c r="V118" s="99"/>
    </row>
    <row r="119" spans="1:42" ht="19.95" customHeight="1">
      <c r="B119" s="79"/>
      <c r="C119" s="80" t="s">
        <v>55</v>
      </c>
      <c r="D119" s="100">
        <f t="shared" ref="D119:G119" si="71">IF(D86="","",D86)</f>
        <v>100</v>
      </c>
      <c r="E119" s="100">
        <f t="shared" si="71"/>
        <v>100</v>
      </c>
      <c r="F119" s="100">
        <f t="shared" si="71"/>
        <v>100</v>
      </c>
      <c r="G119" s="100">
        <f t="shared" si="71"/>
        <v>100</v>
      </c>
      <c r="H119" s="106"/>
      <c r="I119" s="169"/>
      <c r="J119" s="65"/>
      <c r="K119" s="65"/>
      <c r="L119" s="82"/>
      <c r="M119" s="110"/>
      <c r="N119" s="99"/>
      <c r="P119" s="79"/>
      <c r="Q119" s="133" t="str">
        <f>IF(H119&gt;0,IF(AS29=0,"Нет данных",IF(AS29=10,"Не обслуживается",VLOOKUP(AS29,'Тарифы ФФ'!$I$39:$J$47,2,0))),"")</f>
        <v/>
      </c>
      <c r="R119" s="133" t="str">
        <f t="shared" si="63"/>
        <v/>
      </c>
      <c r="S119" s="95" t="b">
        <v>0</v>
      </c>
      <c r="T119" s="134" t="str">
        <f>IF(S119=TRUE,IF(Q119="","",IF(Q119="Не обслуживается","Не обслуживается",IF(Q119="Нет данных","Нет данных",VLOOKUP(AS29,'Тарифы ФФ'!$I$48:$J$56,2,0)))),"")</f>
        <v/>
      </c>
      <c r="U119" s="133" t="str">
        <f>IFERROR(IF(T119="","",T119*H119),"")</f>
        <v/>
      </c>
      <c r="V119" s="99"/>
    </row>
    <row r="120" spans="1:42" ht="19.95" customHeight="1">
      <c r="B120" s="79"/>
      <c r="C120" s="80" t="s">
        <v>56</v>
      </c>
      <c r="D120" s="100">
        <f t="shared" ref="D120:G120" si="72">IF(D87="","",D87)</f>
        <v>100</v>
      </c>
      <c r="E120" s="100">
        <f t="shared" si="72"/>
        <v>100</v>
      </c>
      <c r="F120" s="100">
        <f t="shared" si="72"/>
        <v>100</v>
      </c>
      <c r="G120" s="100">
        <f t="shared" si="72"/>
        <v>100</v>
      </c>
      <c r="H120" s="106"/>
      <c r="I120" s="169"/>
      <c r="J120" s="65"/>
      <c r="K120" s="65"/>
      <c r="L120" s="82"/>
      <c r="M120" s="110"/>
      <c r="N120" s="99"/>
      <c r="P120" s="79"/>
      <c r="Q120" s="133" t="str">
        <f>IF(H120&gt;0,IF(AS30=0,"Нет данных",IF(AS30=10,"Не обслуживается",VLOOKUP(AS30,'Тарифы ФФ'!$I$39:$J$47,2,0))),"")</f>
        <v/>
      </c>
      <c r="R120" s="133" t="str">
        <f t="shared" si="63"/>
        <v/>
      </c>
      <c r="S120" s="95" t="b">
        <v>0</v>
      </c>
      <c r="T120" s="134" t="str">
        <f>IF(S120=TRUE,IF(Q120="","",IF(Q120="Не обслуживается","Не обслуживается",IF(Q120="Нет данных","Нет данных",VLOOKUP(AS30,'Тарифы ФФ'!$I$48:$J$56,2,0)))),"")</f>
        <v/>
      </c>
      <c r="U120" s="133" t="str">
        <f>IFERROR(IF(T120="","",T120*H120),"")</f>
        <v/>
      </c>
      <c r="V120" s="99"/>
    </row>
    <row r="121" spans="1:42">
      <c r="B121" s="79"/>
      <c r="C121" s="82"/>
      <c r="D121" s="82"/>
      <c r="E121" s="82"/>
      <c r="F121" s="82"/>
      <c r="G121" s="82"/>
      <c r="H121" s="85">
        <f>SUM(H111:H120)</f>
        <v>4</v>
      </c>
      <c r="I121" s="82"/>
      <c r="J121" s="82"/>
      <c r="K121" s="82"/>
      <c r="L121" s="82"/>
      <c r="M121" s="110" t="b">
        <v>0</v>
      </c>
      <c r="N121" s="99"/>
      <c r="P121" s="79"/>
      <c r="Q121" s="69" t="s">
        <v>61</v>
      </c>
      <c r="R121" s="89">
        <f>SUM(R111:R120)</f>
        <v>53.2</v>
      </c>
      <c r="S121" s="89"/>
      <c r="T121" s="69" t="s">
        <v>61</v>
      </c>
      <c r="U121" s="89">
        <f>SUM(U111:U120)</f>
        <v>0</v>
      </c>
      <c r="V121" s="99"/>
    </row>
    <row r="122" spans="1:42" ht="15" thickBot="1">
      <c r="B122" s="71"/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3"/>
      <c r="P122" s="71"/>
      <c r="Q122" s="72"/>
      <c r="R122" s="90"/>
      <c r="S122" s="90"/>
      <c r="T122" s="90"/>
      <c r="U122" s="90"/>
      <c r="V122" s="73"/>
    </row>
    <row r="123" spans="1:42" ht="15" thickBot="1"/>
    <row r="124" spans="1:42">
      <c r="B124" s="216"/>
      <c r="C124" s="217" t="s">
        <v>181</v>
      </c>
      <c r="D124" s="75"/>
      <c r="E124" s="75"/>
      <c r="F124" s="75"/>
      <c r="G124" s="75"/>
      <c r="H124" s="75"/>
      <c r="I124" s="75"/>
      <c r="J124" s="188"/>
      <c r="K124" s="14"/>
      <c r="L124" s="14"/>
      <c r="M124" s="14"/>
    </row>
    <row r="125" spans="1:42" ht="21">
      <c r="B125" s="64"/>
      <c r="C125" s="76" t="s">
        <v>146</v>
      </c>
      <c r="D125" s="77"/>
      <c r="E125" s="77"/>
      <c r="F125" s="77"/>
      <c r="G125" s="77"/>
      <c r="H125" s="77"/>
      <c r="I125" s="77"/>
      <c r="J125" s="189"/>
      <c r="K125" s="14"/>
      <c r="L125" s="14"/>
      <c r="M125" s="14"/>
    </row>
    <row r="126" spans="1:42">
      <c r="B126" s="64"/>
      <c r="C126" s="65"/>
      <c r="D126" s="77"/>
      <c r="E126" s="77"/>
      <c r="F126" s="77"/>
      <c r="G126" s="77"/>
      <c r="H126" s="77"/>
      <c r="I126" s="77"/>
      <c r="J126" s="189"/>
      <c r="K126" s="14"/>
      <c r="L126" s="14"/>
      <c r="M126" s="14"/>
    </row>
    <row r="127" spans="1:42" s="120" customFormat="1" ht="18">
      <c r="A127" s="170"/>
      <c r="B127" s="171"/>
      <c r="C127" s="173" t="s">
        <v>77</v>
      </c>
      <c r="D127" s="174"/>
      <c r="E127" s="174"/>
      <c r="F127" s="174"/>
      <c r="G127" s="174"/>
      <c r="H127" s="174"/>
      <c r="I127" s="182" t="s">
        <v>147</v>
      </c>
      <c r="J127" s="190"/>
      <c r="AL127" s="14"/>
      <c r="AM127" s="14"/>
      <c r="AN127" s="16"/>
      <c r="AO127" s="17"/>
      <c r="AP127" s="14"/>
    </row>
    <row r="128" spans="1:42" s="181" customFormat="1">
      <c r="A128" s="177"/>
      <c r="B128" s="178"/>
      <c r="C128" s="179"/>
      <c r="D128" s="176"/>
      <c r="E128" s="176"/>
      <c r="F128" s="176"/>
      <c r="G128" s="176"/>
      <c r="H128" s="180" t="s">
        <v>148</v>
      </c>
      <c r="I128" s="183">
        <f>IF(A7=1,0,R12)</f>
        <v>148.5</v>
      </c>
      <c r="J128" s="191"/>
      <c r="AL128" s="14"/>
      <c r="AM128" s="14"/>
      <c r="AN128" s="16"/>
      <c r="AO128" s="17"/>
      <c r="AP128" s="14"/>
    </row>
    <row r="129" spans="1:42" s="120" customFormat="1" ht="18">
      <c r="A129" s="170"/>
      <c r="B129" s="171"/>
      <c r="C129" s="173"/>
      <c r="D129" s="174"/>
      <c r="E129" s="174"/>
      <c r="F129" s="174"/>
      <c r="G129" s="174"/>
      <c r="H129" s="175" t="s">
        <v>61</v>
      </c>
      <c r="I129" s="184">
        <f>SUM(I128)</f>
        <v>148.5</v>
      </c>
      <c r="J129" s="190"/>
      <c r="AL129" s="14"/>
      <c r="AM129" s="14"/>
      <c r="AN129" s="16"/>
      <c r="AO129" s="17"/>
      <c r="AP129" s="14"/>
    </row>
    <row r="130" spans="1:42" s="120" customFormat="1" ht="18">
      <c r="A130" s="170"/>
      <c r="B130" s="171"/>
      <c r="C130" s="172"/>
      <c r="D130" s="165"/>
      <c r="E130" s="165"/>
      <c r="F130" s="165"/>
      <c r="G130" s="165"/>
      <c r="H130" s="165"/>
      <c r="I130" s="185"/>
      <c r="J130" s="190"/>
      <c r="AL130" s="14"/>
      <c r="AM130" s="14"/>
      <c r="AN130" s="16"/>
      <c r="AO130" s="17"/>
      <c r="AP130" s="14"/>
    </row>
    <row r="131" spans="1:42" s="120" customFormat="1" ht="18">
      <c r="A131" s="170"/>
      <c r="B131" s="171"/>
      <c r="C131" s="173" t="s">
        <v>62</v>
      </c>
      <c r="D131" s="174"/>
      <c r="E131" s="174"/>
      <c r="F131" s="174"/>
      <c r="G131" s="174"/>
      <c r="H131" s="174"/>
      <c r="I131" s="182" t="s">
        <v>147</v>
      </c>
      <c r="J131" s="190"/>
      <c r="AL131" s="14"/>
      <c r="AM131" s="14"/>
      <c r="AN131" s="16"/>
      <c r="AO131" s="17"/>
      <c r="AP131" s="14"/>
    </row>
    <row r="132" spans="1:42" s="120" customFormat="1" ht="18">
      <c r="A132" s="170"/>
      <c r="B132" s="171"/>
      <c r="C132" s="173"/>
      <c r="D132" s="174"/>
      <c r="E132" s="174"/>
      <c r="F132" s="174"/>
      <c r="G132" s="174"/>
      <c r="H132" s="180" t="s">
        <v>85</v>
      </c>
      <c r="I132" s="183">
        <f>R31</f>
        <v>3480</v>
      </c>
      <c r="J132" s="190"/>
      <c r="AL132" s="14"/>
      <c r="AM132" s="14"/>
      <c r="AN132" s="16"/>
      <c r="AO132" s="17"/>
      <c r="AP132" s="14"/>
    </row>
    <row r="133" spans="1:42" s="120" customFormat="1" ht="18">
      <c r="A133" s="170"/>
      <c r="B133" s="171"/>
      <c r="C133" s="173"/>
      <c r="D133" s="174"/>
      <c r="E133" s="174"/>
      <c r="F133" s="174"/>
      <c r="G133" s="174"/>
      <c r="H133" s="180" t="s">
        <v>84</v>
      </c>
      <c r="I133" s="183">
        <f>U31</f>
        <v>0</v>
      </c>
      <c r="J133" s="190"/>
      <c r="AL133" s="14"/>
      <c r="AM133" s="14"/>
      <c r="AN133" s="16"/>
      <c r="AO133" s="17"/>
      <c r="AP133" s="14"/>
    </row>
    <row r="134" spans="1:42" s="120" customFormat="1" ht="18">
      <c r="A134" s="170"/>
      <c r="B134" s="171"/>
      <c r="C134" s="173"/>
      <c r="D134" s="174"/>
      <c r="E134" s="174"/>
      <c r="F134" s="174"/>
      <c r="G134" s="174"/>
      <c r="H134" s="180" t="s">
        <v>83</v>
      </c>
      <c r="I134" s="183">
        <f>X31</f>
        <v>0</v>
      </c>
      <c r="J134" s="190"/>
      <c r="AL134" s="14"/>
      <c r="AM134" s="14"/>
      <c r="AN134" s="16"/>
      <c r="AO134" s="17"/>
      <c r="AP134" s="14"/>
    </row>
    <row r="135" spans="1:42" s="120" customFormat="1" ht="18">
      <c r="A135" s="170"/>
      <c r="B135" s="171"/>
      <c r="C135" s="173"/>
      <c r="D135" s="174"/>
      <c r="E135" s="174"/>
      <c r="F135" s="174"/>
      <c r="G135" s="174"/>
      <c r="H135" s="180" t="s">
        <v>48</v>
      </c>
      <c r="I135" s="183">
        <f>AA31</f>
        <v>1980</v>
      </c>
      <c r="J135" s="190"/>
      <c r="AL135" s="14"/>
      <c r="AM135" s="14"/>
      <c r="AN135" s="16"/>
      <c r="AO135" s="17"/>
      <c r="AP135" s="14"/>
    </row>
    <row r="136" spans="1:42" s="120" customFormat="1" ht="18">
      <c r="A136" s="170"/>
      <c r="B136" s="171"/>
      <c r="C136" s="173"/>
      <c r="D136" s="174"/>
      <c r="E136" s="174"/>
      <c r="F136" s="174"/>
      <c r="G136" s="174"/>
      <c r="H136" s="175" t="s">
        <v>61</v>
      </c>
      <c r="I136" s="184">
        <f>SUM(I132:I135)</f>
        <v>5460</v>
      </c>
      <c r="J136" s="190"/>
      <c r="AL136" s="14"/>
      <c r="AM136" s="14"/>
      <c r="AN136" s="16"/>
      <c r="AO136" s="17"/>
      <c r="AP136" s="14"/>
    </row>
    <row r="137" spans="1:42" s="120" customFormat="1" ht="18">
      <c r="A137" s="170"/>
      <c r="B137" s="171"/>
      <c r="C137" s="172"/>
      <c r="D137" s="165"/>
      <c r="E137" s="165"/>
      <c r="F137" s="165"/>
      <c r="G137" s="165"/>
      <c r="H137" s="165"/>
      <c r="I137" s="185"/>
      <c r="J137" s="190"/>
      <c r="AL137" s="14"/>
      <c r="AM137" s="14"/>
      <c r="AN137" s="16"/>
      <c r="AO137" s="17"/>
      <c r="AP137" s="14"/>
    </row>
    <row r="138" spans="1:42" s="120" customFormat="1" ht="18">
      <c r="A138" s="170"/>
      <c r="B138" s="171"/>
      <c r="C138" s="173" t="s">
        <v>87</v>
      </c>
      <c r="D138" s="174"/>
      <c r="E138" s="174"/>
      <c r="F138" s="174"/>
      <c r="G138" s="174"/>
      <c r="H138" s="174"/>
      <c r="I138" s="182" t="s">
        <v>147</v>
      </c>
      <c r="J138" s="190"/>
      <c r="AL138" s="14"/>
      <c r="AM138" s="14"/>
      <c r="AN138" s="16"/>
      <c r="AO138" s="17"/>
      <c r="AP138" s="14"/>
    </row>
    <row r="139" spans="1:42" s="120" customFormat="1" ht="18">
      <c r="A139" s="170"/>
      <c r="B139" s="171"/>
      <c r="C139" s="173"/>
      <c r="D139" s="174"/>
      <c r="E139" s="174"/>
      <c r="F139" s="174"/>
      <c r="G139" s="174"/>
      <c r="H139" s="180" t="s">
        <v>91</v>
      </c>
      <c r="I139" s="183">
        <f>R50</f>
        <v>5400</v>
      </c>
      <c r="J139" s="190"/>
      <c r="AL139" s="14"/>
      <c r="AM139" s="14"/>
      <c r="AN139" s="16"/>
      <c r="AO139" s="17"/>
      <c r="AP139" s="14"/>
    </row>
    <row r="140" spans="1:42" s="120" customFormat="1" ht="18">
      <c r="A140" s="170"/>
      <c r="B140" s="171"/>
      <c r="C140" s="173"/>
      <c r="D140" s="174"/>
      <c r="E140" s="174"/>
      <c r="F140" s="174"/>
      <c r="G140" s="174"/>
      <c r="H140" s="180" t="s">
        <v>92</v>
      </c>
      <c r="I140" s="183">
        <f>U50</f>
        <v>0</v>
      </c>
      <c r="J140" s="190"/>
      <c r="AL140" s="14"/>
      <c r="AM140" s="14"/>
      <c r="AN140" s="16"/>
      <c r="AO140" s="17"/>
      <c r="AP140" s="14"/>
    </row>
    <row r="141" spans="1:42" s="120" customFormat="1" ht="18">
      <c r="A141" s="170"/>
      <c r="B141" s="171"/>
      <c r="C141" s="173"/>
      <c r="D141" s="174"/>
      <c r="E141" s="174"/>
      <c r="F141" s="174"/>
      <c r="G141" s="174"/>
      <c r="H141" s="175" t="s">
        <v>61</v>
      </c>
      <c r="I141" s="184">
        <f>SUM(I139:I140)</f>
        <v>5400</v>
      </c>
      <c r="J141" s="190"/>
      <c r="AL141" s="14"/>
      <c r="AM141" s="14"/>
      <c r="AN141" s="16"/>
      <c r="AO141" s="17"/>
      <c r="AP141" s="14"/>
    </row>
    <row r="142" spans="1:42" s="120" customFormat="1" ht="18">
      <c r="A142" s="170"/>
      <c r="B142" s="171"/>
      <c r="C142" s="172"/>
      <c r="D142" s="165"/>
      <c r="E142" s="165"/>
      <c r="F142" s="165"/>
      <c r="G142" s="165"/>
      <c r="H142" s="165"/>
      <c r="I142" s="185"/>
      <c r="J142" s="190"/>
      <c r="AL142" s="14"/>
      <c r="AM142" s="14"/>
      <c r="AN142" s="16"/>
      <c r="AO142" s="17"/>
      <c r="AP142" s="14"/>
    </row>
    <row r="143" spans="1:42" s="120" customFormat="1" ht="18">
      <c r="A143" s="170"/>
      <c r="B143" s="171"/>
      <c r="C143" s="173" t="s">
        <v>111</v>
      </c>
      <c r="D143" s="174"/>
      <c r="E143" s="174"/>
      <c r="F143" s="174"/>
      <c r="G143" s="174"/>
      <c r="H143" s="174"/>
      <c r="I143" s="182" t="s">
        <v>147</v>
      </c>
      <c r="J143" s="190"/>
      <c r="AL143" s="14"/>
      <c r="AM143" s="14"/>
      <c r="AN143" s="16"/>
      <c r="AO143" s="17"/>
      <c r="AP143" s="14"/>
    </row>
    <row r="144" spans="1:42" s="120" customFormat="1" ht="18">
      <c r="A144" s="170"/>
      <c r="B144" s="171"/>
      <c r="C144" s="173"/>
      <c r="D144" s="174"/>
      <c r="E144" s="174"/>
      <c r="F144" s="174"/>
      <c r="G144" s="174"/>
      <c r="H144" s="180" t="s">
        <v>99</v>
      </c>
      <c r="I144" s="183">
        <f>R69</f>
        <v>2780</v>
      </c>
      <c r="J144" s="190"/>
      <c r="AL144" s="14"/>
      <c r="AM144" s="14"/>
      <c r="AN144" s="16"/>
      <c r="AO144" s="17"/>
      <c r="AP144" s="14"/>
    </row>
    <row r="145" spans="1:42" s="120" customFormat="1" ht="18">
      <c r="A145" s="170"/>
      <c r="B145" s="171"/>
      <c r="C145" s="173"/>
      <c r="D145" s="174"/>
      <c r="E145" s="174"/>
      <c r="F145" s="174"/>
      <c r="G145" s="174"/>
      <c r="H145" s="180" t="s">
        <v>58</v>
      </c>
      <c r="I145" s="183">
        <f>U69</f>
        <v>0</v>
      </c>
      <c r="J145" s="190"/>
      <c r="AL145" s="14"/>
      <c r="AM145" s="14"/>
      <c r="AN145" s="16"/>
      <c r="AO145" s="17"/>
      <c r="AP145" s="14"/>
    </row>
    <row r="146" spans="1:42" s="120" customFormat="1" ht="18">
      <c r="A146" s="170"/>
      <c r="B146" s="171"/>
      <c r="C146" s="173"/>
      <c r="D146" s="174"/>
      <c r="E146" s="174"/>
      <c r="F146" s="174"/>
      <c r="G146" s="174"/>
      <c r="H146" s="180" t="s">
        <v>149</v>
      </c>
      <c r="I146" s="183">
        <f>X69</f>
        <v>0</v>
      </c>
      <c r="J146" s="190"/>
      <c r="AL146" s="14"/>
      <c r="AM146" s="14"/>
      <c r="AN146" s="16"/>
      <c r="AO146" s="17"/>
      <c r="AP146" s="14"/>
    </row>
    <row r="147" spans="1:42" s="120" customFormat="1" ht="18">
      <c r="A147" s="170"/>
      <c r="B147" s="171"/>
      <c r="C147" s="173"/>
      <c r="D147" s="174"/>
      <c r="E147" s="174"/>
      <c r="F147" s="174"/>
      <c r="G147" s="174"/>
      <c r="H147" s="180" t="s">
        <v>150</v>
      </c>
      <c r="I147" s="183">
        <f>AA69</f>
        <v>4000</v>
      </c>
      <c r="J147" s="190"/>
      <c r="AL147" s="14"/>
      <c r="AM147" s="14"/>
      <c r="AN147" s="16"/>
      <c r="AO147" s="17"/>
      <c r="AP147" s="14"/>
    </row>
    <row r="148" spans="1:42" s="120" customFormat="1" ht="18">
      <c r="A148" s="170"/>
      <c r="B148" s="171"/>
      <c r="C148" s="173"/>
      <c r="D148" s="174"/>
      <c r="E148" s="174"/>
      <c r="F148" s="174"/>
      <c r="G148" s="174"/>
      <c r="H148" s="180" t="s">
        <v>105</v>
      </c>
      <c r="I148" s="183">
        <f>AD69</f>
        <v>0</v>
      </c>
      <c r="J148" s="190"/>
      <c r="AL148" s="14"/>
      <c r="AM148" s="14"/>
      <c r="AN148" s="16"/>
      <c r="AO148" s="17"/>
      <c r="AP148" s="14"/>
    </row>
    <row r="149" spans="1:42" s="120" customFormat="1" ht="18">
      <c r="A149" s="170"/>
      <c r="B149" s="171"/>
      <c r="C149" s="173"/>
      <c r="D149" s="174"/>
      <c r="E149" s="174"/>
      <c r="F149" s="174"/>
      <c r="G149" s="174"/>
      <c r="H149" s="180" t="s">
        <v>100</v>
      </c>
      <c r="I149" s="183">
        <f>AH61</f>
        <v>0</v>
      </c>
      <c r="J149" s="190"/>
      <c r="AL149" s="14"/>
      <c r="AM149" s="14"/>
      <c r="AN149" s="16"/>
      <c r="AO149" s="17"/>
      <c r="AP149" s="14"/>
    </row>
    <row r="150" spans="1:42" s="120" customFormat="1" ht="18">
      <c r="A150" s="170"/>
      <c r="B150" s="171"/>
      <c r="C150" s="173"/>
      <c r="D150" s="174"/>
      <c r="E150" s="174"/>
      <c r="F150" s="174"/>
      <c r="G150" s="174"/>
      <c r="H150" s="180" t="s">
        <v>0</v>
      </c>
      <c r="I150" s="183">
        <f>AL66</f>
        <v>0</v>
      </c>
      <c r="J150" s="190"/>
      <c r="AL150" s="14"/>
      <c r="AM150" s="14"/>
      <c r="AN150" s="16"/>
      <c r="AO150" s="17"/>
      <c r="AP150" s="14"/>
    </row>
    <row r="151" spans="1:42" s="120" customFormat="1" ht="18">
      <c r="A151" s="170"/>
      <c r="B151" s="171"/>
      <c r="C151" s="173"/>
      <c r="D151" s="174"/>
      <c r="E151" s="174"/>
      <c r="F151" s="174"/>
      <c r="G151" s="174"/>
      <c r="H151" s="180" t="s">
        <v>16</v>
      </c>
      <c r="I151" s="183">
        <f>AL60</f>
        <v>0</v>
      </c>
      <c r="J151" s="190"/>
      <c r="AL151" s="14"/>
      <c r="AM151" s="14"/>
      <c r="AN151" s="16"/>
      <c r="AO151" s="17"/>
      <c r="AP151" s="14"/>
    </row>
    <row r="152" spans="1:42" s="120" customFormat="1" ht="18">
      <c r="A152" s="170"/>
      <c r="B152" s="171"/>
      <c r="C152" s="173"/>
      <c r="D152" s="174"/>
      <c r="E152" s="174"/>
      <c r="F152" s="174"/>
      <c r="G152" s="174"/>
      <c r="H152" s="175" t="s">
        <v>61</v>
      </c>
      <c r="I152" s="184">
        <f>SUM(I144:I151)</f>
        <v>6780</v>
      </c>
      <c r="J152" s="190"/>
      <c r="AL152" s="14"/>
      <c r="AM152" s="14"/>
      <c r="AN152" s="16"/>
      <c r="AO152" s="17"/>
      <c r="AP152" s="14"/>
    </row>
    <row r="153" spans="1:42" s="120" customFormat="1" ht="18">
      <c r="A153" s="170"/>
      <c r="B153" s="171"/>
      <c r="C153" s="172"/>
      <c r="D153" s="165"/>
      <c r="E153" s="165"/>
      <c r="F153" s="165"/>
      <c r="G153" s="165"/>
      <c r="H153" s="165"/>
      <c r="I153" s="185"/>
      <c r="J153" s="190"/>
      <c r="AL153" s="14"/>
      <c r="AM153" s="14"/>
      <c r="AN153" s="16"/>
      <c r="AO153" s="17"/>
      <c r="AP153" s="14"/>
    </row>
    <row r="154" spans="1:42" s="120" customFormat="1" ht="18">
      <c r="A154" s="170"/>
      <c r="B154" s="171"/>
      <c r="C154" s="173" t="s">
        <v>112</v>
      </c>
      <c r="D154" s="174"/>
      <c r="E154" s="174"/>
      <c r="F154" s="174"/>
      <c r="G154" s="174"/>
      <c r="H154" s="174"/>
      <c r="I154" s="182" t="s">
        <v>147</v>
      </c>
      <c r="J154" s="190"/>
      <c r="AL154" s="14"/>
      <c r="AM154" s="14"/>
      <c r="AN154" s="16"/>
      <c r="AO154" s="17"/>
      <c r="AP154" s="14"/>
    </row>
    <row r="155" spans="1:42" s="120" customFormat="1" ht="18">
      <c r="A155" s="170"/>
      <c r="B155" s="171"/>
      <c r="C155" s="173"/>
      <c r="D155" s="174"/>
      <c r="E155" s="174"/>
      <c r="F155" s="174"/>
      <c r="G155" s="174"/>
      <c r="H155" s="180" t="s">
        <v>99</v>
      </c>
      <c r="I155" s="183">
        <f>R88</f>
        <v>1390</v>
      </c>
      <c r="J155" s="190"/>
      <c r="AL155" s="14"/>
      <c r="AM155" s="14"/>
      <c r="AN155" s="16"/>
      <c r="AO155" s="17"/>
      <c r="AP155" s="14"/>
    </row>
    <row r="156" spans="1:42" s="120" customFormat="1" ht="18">
      <c r="A156" s="170"/>
      <c r="B156" s="171"/>
      <c r="C156" s="173"/>
      <c r="D156" s="174"/>
      <c r="E156" s="174"/>
      <c r="F156" s="174"/>
      <c r="G156" s="174"/>
      <c r="H156" s="180" t="s">
        <v>58</v>
      </c>
      <c r="I156" s="183">
        <f>U88</f>
        <v>0</v>
      </c>
      <c r="J156" s="190"/>
      <c r="AL156" s="14"/>
      <c r="AM156" s="14"/>
      <c r="AN156" s="16"/>
      <c r="AO156" s="17"/>
      <c r="AP156" s="14"/>
    </row>
    <row r="157" spans="1:42" s="120" customFormat="1" ht="18">
      <c r="A157" s="170"/>
      <c r="B157" s="171"/>
      <c r="C157" s="173"/>
      <c r="D157" s="174"/>
      <c r="E157" s="174"/>
      <c r="F157" s="174"/>
      <c r="G157" s="174"/>
      <c r="H157" s="180" t="s">
        <v>149</v>
      </c>
      <c r="I157" s="183">
        <f>X88</f>
        <v>0</v>
      </c>
      <c r="J157" s="190"/>
      <c r="AL157" s="14"/>
      <c r="AM157" s="14"/>
      <c r="AN157" s="16"/>
      <c r="AO157" s="17"/>
      <c r="AP157" s="14"/>
    </row>
    <row r="158" spans="1:42" s="120" customFormat="1" ht="18">
      <c r="A158" s="170"/>
      <c r="B158" s="171"/>
      <c r="C158" s="173"/>
      <c r="D158" s="174"/>
      <c r="E158" s="174"/>
      <c r="F158" s="174"/>
      <c r="G158" s="174"/>
      <c r="H158" s="180" t="s">
        <v>150</v>
      </c>
      <c r="I158" s="183">
        <f>AA88</f>
        <v>2000</v>
      </c>
      <c r="J158" s="190"/>
      <c r="AL158" s="14"/>
      <c r="AM158" s="14"/>
      <c r="AN158" s="16"/>
      <c r="AO158" s="17"/>
      <c r="AP158" s="14"/>
    </row>
    <row r="159" spans="1:42" s="120" customFormat="1" ht="18">
      <c r="A159" s="170"/>
      <c r="B159" s="171"/>
      <c r="C159" s="173"/>
      <c r="D159" s="174"/>
      <c r="E159" s="174"/>
      <c r="F159" s="174"/>
      <c r="G159" s="174"/>
      <c r="H159" s="180" t="s">
        <v>105</v>
      </c>
      <c r="I159" s="183">
        <f>AD88</f>
        <v>400</v>
      </c>
      <c r="J159" s="190"/>
      <c r="AL159" s="14"/>
      <c r="AM159" s="14"/>
      <c r="AN159" s="16"/>
      <c r="AO159" s="17"/>
      <c r="AP159" s="14"/>
    </row>
    <row r="160" spans="1:42" s="120" customFormat="1" ht="18">
      <c r="A160" s="170"/>
      <c r="B160" s="171"/>
      <c r="C160" s="173"/>
      <c r="D160" s="174"/>
      <c r="E160" s="174"/>
      <c r="F160" s="174"/>
      <c r="G160" s="174"/>
      <c r="H160" s="180" t="s">
        <v>115</v>
      </c>
      <c r="I160" s="183">
        <f>AH88</f>
        <v>1210</v>
      </c>
      <c r="J160" s="190"/>
      <c r="AL160" s="14"/>
      <c r="AM160" s="14"/>
      <c r="AN160" s="16"/>
      <c r="AO160" s="17"/>
      <c r="AP160" s="14"/>
    </row>
    <row r="161" spans="1:42" s="120" customFormat="1" ht="18">
      <c r="A161" s="170"/>
      <c r="B161" s="171"/>
      <c r="C161" s="173"/>
      <c r="D161" s="174"/>
      <c r="E161" s="174"/>
      <c r="F161" s="174"/>
      <c r="G161" s="174"/>
      <c r="H161" s="175" t="s">
        <v>61</v>
      </c>
      <c r="I161" s="184">
        <f>SUM(I155:I160)</f>
        <v>5000</v>
      </c>
      <c r="J161" s="190"/>
      <c r="AL161" s="14"/>
      <c r="AM161" s="14"/>
      <c r="AN161" s="16"/>
      <c r="AO161" s="17"/>
      <c r="AP161" s="14"/>
    </row>
    <row r="162" spans="1:42" s="120" customFormat="1" ht="18">
      <c r="A162" s="170"/>
      <c r="B162" s="171"/>
      <c r="C162" s="172"/>
      <c r="D162" s="165"/>
      <c r="E162" s="165"/>
      <c r="F162" s="165"/>
      <c r="G162" s="165"/>
      <c r="H162" s="165"/>
      <c r="I162" s="185"/>
      <c r="J162" s="190"/>
      <c r="AL162" s="14"/>
      <c r="AM162" s="14"/>
      <c r="AN162" s="16"/>
      <c r="AO162" s="17"/>
      <c r="AP162" s="14"/>
    </row>
    <row r="163" spans="1:42" s="120" customFormat="1" ht="18">
      <c r="A163" s="170"/>
      <c r="B163" s="171"/>
      <c r="C163" s="173" t="s">
        <v>135</v>
      </c>
      <c r="D163" s="174"/>
      <c r="E163" s="174"/>
      <c r="F163" s="174"/>
      <c r="G163" s="174"/>
      <c r="H163" s="174"/>
      <c r="I163" s="182" t="s">
        <v>147</v>
      </c>
      <c r="J163" s="190"/>
      <c r="AL163" s="14"/>
      <c r="AM163" s="14"/>
      <c r="AN163" s="16"/>
      <c r="AO163" s="17"/>
      <c r="AP163" s="14"/>
    </row>
    <row r="164" spans="1:42" s="120" customFormat="1" ht="18">
      <c r="A164" s="170"/>
      <c r="B164" s="171"/>
      <c r="C164" s="179"/>
      <c r="D164" s="176"/>
      <c r="E164" s="176"/>
      <c r="F164" s="176"/>
      <c r="G164" s="176"/>
      <c r="H164" s="180" t="s">
        <v>151</v>
      </c>
      <c r="I164" s="183">
        <f>T97</f>
        <v>1600</v>
      </c>
      <c r="J164" s="190"/>
      <c r="AL164" s="14"/>
      <c r="AM164" s="14"/>
      <c r="AN164" s="16"/>
      <c r="AO164" s="17"/>
      <c r="AP164" s="14"/>
    </row>
    <row r="165" spans="1:42" s="120" customFormat="1" ht="18">
      <c r="A165" s="170"/>
      <c r="B165" s="171"/>
      <c r="C165" s="173"/>
      <c r="D165" s="174"/>
      <c r="E165" s="174"/>
      <c r="F165" s="174"/>
      <c r="G165" s="174"/>
      <c r="H165" s="175" t="s">
        <v>61</v>
      </c>
      <c r="I165" s="184">
        <f>SUM(I164)</f>
        <v>1600</v>
      </c>
      <c r="J165" s="190"/>
      <c r="AL165" s="14"/>
      <c r="AM165" s="14"/>
      <c r="AN165" s="16"/>
      <c r="AO165" s="17"/>
      <c r="AP165" s="14"/>
    </row>
    <row r="166" spans="1:42" s="120" customFormat="1" ht="18">
      <c r="A166" s="170"/>
      <c r="B166" s="171"/>
      <c r="C166" s="172"/>
      <c r="D166" s="165"/>
      <c r="E166" s="165"/>
      <c r="F166" s="165"/>
      <c r="G166" s="165"/>
      <c r="H166" s="165"/>
      <c r="I166" s="185"/>
      <c r="J166" s="190"/>
      <c r="AL166" s="14"/>
      <c r="AM166" s="14"/>
      <c r="AN166" s="16"/>
      <c r="AO166" s="17"/>
      <c r="AP166" s="14"/>
    </row>
    <row r="167" spans="1:42" s="120" customFormat="1" ht="18">
      <c r="A167" s="170"/>
      <c r="B167" s="171"/>
      <c r="C167" s="173" t="s">
        <v>67</v>
      </c>
      <c r="D167" s="174"/>
      <c r="E167" s="174"/>
      <c r="F167" s="174"/>
      <c r="G167" s="174"/>
      <c r="H167" s="174"/>
      <c r="I167" s="182" t="s">
        <v>147</v>
      </c>
      <c r="J167" s="190"/>
      <c r="AL167" s="14"/>
      <c r="AM167" s="14"/>
      <c r="AN167" s="16"/>
      <c r="AO167" s="17"/>
      <c r="AP167" s="14"/>
    </row>
    <row r="168" spans="1:42">
      <c r="B168" s="64"/>
      <c r="C168" s="179"/>
      <c r="D168" s="176"/>
      <c r="E168" s="176"/>
      <c r="F168" s="176"/>
      <c r="G168" s="176"/>
      <c r="H168" s="180" t="s">
        <v>141</v>
      </c>
      <c r="I168" s="183">
        <f>R121</f>
        <v>53.2</v>
      </c>
      <c r="J168" s="189"/>
      <c r="K168" s="14"/>
      <c r="L168" s="14"/>
      <c r="M168" s="14"/>
    </row>
    <row r="169" spans="1:42">
      <c r="B169" s="64"/>
      <c r="C169" s="179"/>
      <c r="D169" s="176"/>
      <c r="E169" s="176"/>
      <c r="F169" s="176"/>
      <c r="G169" s="176"/>
      <c r="H169" s="180" t="s">
        <v>143</v>
      </c>
      <c r="I169" s="183">
        <f>U121</f>
        <v>0</v>
      </c>
      <c r="J169" s="189"/>
      <c r="K169" s="14"/>
      <c r="L169" s="14"/>
      <c r="M169" s="14"/>
    </row>
    <row r="170" spans="1:42" ht="18">
      <c r="B170" s="64"/>
      <c r="C170" s="173"/>
      <c r="D170" s="174"/>
      <c r="E170" s="174"/>
      <c r="F170" s="174"/>
      <c r="G170" s="174"/>
      <c r="H170" s="175" t="s">
        <v>61</v>
      </c>
      <c r="I170" s="184">
        <f>SUM(I168:I169)</f>
        <v>53.2</v>
      </c>
      <c r="J170" s="189"/>
      <c r="K170" s="14"/>
      <c r="L170" s="14"/>
      <c r="M170" s="14"/>
    </row>
    <row r="171" spans="1:42">
      <c r="B171" s="64"/>
      <c r="C171" s="65"/>
      <c r="D171" s="77"/>
      <c r="E171" s="77"/>
      <c r="F171" s="77"/>
      <c r="G171" s="77"/>
      <c r="H171" s="77"/>
      <c r="I171" s="186"/>
      <c r="J171" s="189"/>
      <c r="K171" s="14"/>
      <c r="L171" s="14"/>
      <c r="M171" s="14"/>
    </row>
    <row r="172" spans="1:42" s="24" customFormat="1" ht="25.05" customHeight="1">
      <c r="A172" s="9"/>
      <c r="B172" s="79"/>
      <c r="C172" s="82"/>
      <c r="D172" s="84"/>
      <c r="E172" s="84"/>
      <c r="F172" s="84"/>
      <c r="G172" s="187" t="s">
        <v>152</v>
      </c>
      <c r="H172" s="219">
        <f>I129+I136+I141+I152+I161+I165+I170</f>
        <v>24441.7</v>
      </c>
      <c r="I172" s="219"/>
      <c r="J172" s="192"/>
      <c r="AL172" s="14"/>
      <c r="AM172" s="14"/>
      <c r="AN172" s="16"/>
      <c r="AO172" s="17"/>
      <c r="AP172" s="14"/>
    </row>
    <row r="173" spans="1:42" s="24" customFormat="1" ht="12" customHeight="1">
      <c r="A173" s="9"/>
      <c r="B173" s="79"/>
      <c r="C173" s="82"/>
      <c r="D173" s="84"/>
      <c r="E173" s="84"/>
      <c r="F173" s="84"/>
      <c r="G173" s="187"/>
      <c r="H173" s="187"/>
      <c r="I173" s="187"/>
      <c r="J173" s="192"/>
      <c r="AL173" s="14"/>
      <c r="AM173" s="14"/>
      <c r="AN173" s="16"/>
      <c r="AO173" s="17"/>
      <c r="AP173" s="14"/>
    </row>
    <row r="174" spans="1:42" s="24" customFormat="1" ht="25.05" customHeight="1">
      <c r="A174" s="9"/>
      <c r="B174" s="79"/>
      <c r="C174" s="82"/>
      <c r="D174" s="84"/>
      <c r="E174" s="84"/>
      <c r="F174" s="84"/>
      <c r="G174" s="218" t="s">
        <v>190</v>
      </c>
      <c r="H174" s="219">
        <f>IFERROR(IF(H172&gt;0,H172/H31,"-"),"-")</f>
        <v>81.472333333333339</v>
      </c>
      <c r="I174" s="219"/>
      <c r="J174" s="192"/>
      <c r="AL174" s="14"/>
      <c r="AM174" s="14"/>
      <c r="AN174" s="16"/>
      <c r="AO174" s="17"/>
      <c r="AP174" s="14"/>
    </row>
    <row r="175" spans="1:42" ht="15" thickBot="1">
      <c r="B175" s="71"/>
      <c r="C175" s="72"/>
      <c r="D175" s="86"/>
      <c r="E175" s="86"/>
      <c r="F175" s="86"/>
      <c r="G175" s="86"/>
      <c r="H175" s="86"/>
      <c r="I175" s="86"/>
      <c r="J175" s="193"/>
      <c r="K175" s="14"/>
      <c r="L175" s="14"/>
      <c r="M175" s="14"/>
    </row>
    <row r="177" spans="2:2">
      <c r="B177" s="14" t="s">
        <v>173</v>
      </c>
    </row>
    <row r="178" spans="2:2">
      <c r="B178" s="14" t="s">
        <v>189</v>
      </c>
    </row>
    <row r="179" spans="2:2">
      <c r="B179" s="14" t="s">
        <v>172</v>
      </c>
    </row>
  </sheetData>
  <sheetProtection sheet="1" objects="1" scenarios="1"/>
  <mergeCells count="43">
    <mergeCell ref="AF56:AH56"/>
    <mergeCell ref="AJ62:AL62"/>
    <mergeCell ref="AJ56:AL56"/>
    <mergeCell ref="AC56:AD56"/>
    <mergeCell ref="W56:X56"/>
    <mergeCell ref="Z56:AA56"/>
    <mergeCell ref="T57:U57"/>
    <mergeCell ref="W57:X57"/>
    <mergeCell ref="L56:M56"/>
    <mergeCell ref="L58:M58"/>
    <mergeCell ref="Q56:R56"/>
    <mergeCell ref="T56:U56"/>
    <mergeCell ref="L37:M37"/>
    <mergeCell ref="C7:E7"/>
    <mergeCell ref="C8:E8"/>
    <mergeCell ref="Q18:R18"/>
    <mergeCell ref="T18:U18"/>
    <mergeCell ref="W18:X18"/>
    <mergeCell ref="Z18:AA18"/>
    <mergeCell ref="T38:U38"/>
    <mergeCell ref="Q37:R37"/>
    <mergeCell ref="T37:U37"/>
    <mergeCell ref="T19:U19"/>
    <mergeCell ref="W19:X19"/>
    <mergeCell ref="L65:M65"/>
    <mergeCell ref="L75:M75"/>
    <mergeCell ref="Q75:R75"/>
    <mergeCell ref="T75:U75"/>
    <mergeCell ref="W75:X75"/>
    <mergeCell ref="H174:I174"/>
    <mergeCell ref="L77:M77"/>
    <mergeCell ref="Z75:AA75"/>
    <mergeCell ref="AC75:AD75"/>
    <mergeCell ref="AF75:AH75"/>
    <mergeCell ref="T76:U76"/>
    <mergeCell ref="W76:X76"/>
    <mergeCell ref="H172:I172"/>
    <mergeCell ref="T109:U109"/>
    <mergeCell ref="L110:M110"/>
    <mergeCell ref="Q109:R109"/>
    <mergeCell ref="L108:M108"/>
    <mergeCell ref="Q108:R108"/>
    <mergeCell ref="T108:U108"/>
  </mergeCells>
  <conditionalFormatting sqref="H10">
    <cfRule type="expression" dxfId="41" priority="116">
      <formula>$A$7=1</formula>
    </cfRule>
  </conditionalFormatting>
  <conditionalFormatting sqref="L40:L49">
    <cfRule type="cellIs" dxfId="40" priority="75" operator="equal">
      <formula>"Паллетное хранение"</formula>
    </cfRule>
    <cfRule type="cellIs" dxfId="39" priority="76" operator="equal">
      <formula>"Не обслуживается"</formula>
    </cfRule>
  </conditionalFormatting>
  <conditionalFormatting sqref="M21">
    <cfRule type="expression" dxfId="38" priority="103">
      <formula>$P$21=1</formula>
    </cfRule>
  </conditionalFormatting>
  <conditionalFormatting sqref="M22">
    <cfRule type="expression" dxfId="37" priority="101">
      <formula>$P$22=1</formula>
    </cfRule>
  </conditionalFormatting>
  <conditionalFormatting sqref="M23">
    <cfRule type="expression" dxfId="36" priority="100">
      <formula>$P$23=1</formula>
    </cfRule>
  </conditionalFormatting>
  <conditionalFormatting sqref="M24">
    <cfRule type="expression" dxfId="35" priority="99">
      <formula>$P$24=1</formula>
    </cfRule>
  </conditionalFormatting>
  <conditionalFormatting sqref="M25">
    <cfRule type="expression" dxfId="34" priority="98">
      <formula>$P$25=1</formula>
    </cfRule>
  </conditionalFormatting>
  <conditionalFormatting sqref="M26">
    <cfRule type="expression" dxfId="33" priority="97">
      <formula>$P$26=1</formula>
    </cfRule>
  </conditionalFormatting>
  <conditionalFormatting sqref="M27">
    <cfRule type="expression" dxfId="32" priority="96">
      <formula>$P$27=1</formula>
    </cfRule>
  </conditionalFormatting>
  <conditionalFormatting sqref="M28">
    <cfRule type="expression" dxfId="31" priority="95">
      <formula>$P$28=1</formula>
    </cfRule>
  </conditionalFormatting>
  <conditionalFormatting sqref="M29">
    <cfRule type="expression" dxfId="30" priority="94">
      <formula>$P$29=1</formula>
    </cfRule>
  </conditionalFormatting>
  <conditionalFormatting sqref="M30">
    <cfRule type="expression" dxfId="29" priority="93">
      <formula>$P$30=1</formula>
    </cfRule>
  </conditionalFormatting>
  <conditionalFormatting sqref="M40">
    <cfRule type="expression" dxfId="28" priority="90">
      <formula>$K$40=0</formula>
    </cfRule>
  </conditionalFormatting>
  <conditionalFormatting sqref="M41">
    <cfRule type="expression" dxfId="27" priority="89" stopIfTrue="1">
      <formula>$K$41=0</formula>
    </cfRule>
  </conditionalFormatting>
  <conditionalFormatting sqref="M42">
    <cfRule type="expression" dxfId="26" priority="88" stopIfTrue="1">
      <formula>$K$42=0</formula>
    </cfRule>
  </conditionalFormatting>
  <conditionalFormatting sqref="M43">
    <cfRule type="expression" dxfId="25" priority="87" stopIfTrue="1">
      <formula>$K$43=0</formula>
    </cfRule>
  </conditionalFormatting>
  <conditionalFormatting sqref="M44">
    <cfRule type="expression" dxfId="24" priority="86" stopIfTrue="1">
      <formula>$K$44=0</formula>
    </cfRule>
  </conditionalFormatting>
  <conditionalFormatting sqref="M45">
    <cfRule type="expression" dxfId="23" priority="85" stopIfTrue="1">
      <formula>$K$45=0</formula>
    </cfRule>
  </conditionalFormatting>
  <conditionalFormatting sqref="M46">
    <cfRule type="expression" dxfId="22" priority="84" stopIfTrue="1">
      <formula>$K$46=0</formula>
    </cfRule>
  </conditionalFormatting>
  <conditionalFormatting sqref="M47">
    <cfRule type="expression" dxfId="21" priority="83" stopIfTrue="1">
      <formula>$K$47=0</formula>
    </cfRule>
  </conditionalFormatting>
  <conditionalFormatting sqref="M48">
    <cfRule type="expression" dxfId="20" priority="82" stopIfTrue="1">
      <formula>$K$48=0</formula>
    </cfRule>
  </conditionalFormatting>
  <conditionalFormatting sqref="M49">
    <cfRule type="expression" dxfId="19" priority="81" stopIfTrue="1">
      <formula>$K$49=0</formula>
    </cfRule>
  </conditionalFormatting>
  <conditionalFormatting sqref="P110:V122">
    <cfRule type="cellIs" dxfId="18" priority="4" operator="equal">
      <formula>"Не обслуживается"</formula>
    </cfRule>
    <cfRule type="cellIs" dxfId="17" priority="5" operator="equal">
      <formula>"Нет данных"</formula>
    </cfRule>
  </conditionalFormatting>
  <conditionalFormatting sqref="P69:AE69 AI69 AM69 P70:AM70 R72:AM72 P73:AM87">
    <cfRule type="cellIs" dxfId="16" priority="19" operator="equal">
      <formula>"Не обслуживается"</formula>
    </cfRule>
    <cfRule type="cellIs" dxfId="15" priority="20" operator="equal">
      <formula>"Нет данных"</formula>
    </cfRule>
  </conditionalFormatting>
  <conditionalFormatting sqref="Q92">
    <cfRule type="cellIs" dxfId="14" priority="14" operator="equal">
      <formula>"Не обслуживается"</formula>
    </cfRule>
    <cfRule type="cellIs" dxfId="13" priority="15" operator="equal">
      <formula>"Нет данных"</formula>
    </cfRule>
  </conditionalFormatting>
  <conditionalFormatting sqref="Q11:R11">
    <cfRule type="expression" dxfId="12" priority="18">
      <formula>$A$7=1</formula>
    </cfRule>
  </conditionalFormatting>
  <conditionalFormatting sqref="R34:V34 P35:V51">
    <cfRule type="cellIs" dxfId="11" priority="1" operator="equal">
      <formula>"Нет данных"</formula>
    </cfRule>
  </conditionalFormatting>
  <conditionalFormatting sqref="R34:AB34 AE34:AE51 P35:AB51">
    <cfRule type="cellIs" dxfId="10" priority="56" operator="equal">
      <formula>"Нет кол-ва дней"</formula>
    </cfRule>
    <cfRule type="cellIs" dxfId="9" priority="68" operator="equal">
      <formula>"Нет кол-ва паллет"</formula>
    </cfRule>
  </conditionalFormatting>
  <conditionalFormatting sqref="R15:AM15 P16:AM32 AC34:AD51 AF34:AM51">
    <cfRule type="cellIs" dxfId="8" priority="92" operator="equal">
      <formula>"Нет кол-ва коробов"</formula>
    </cfRule>
  </conditionalFormatting>
  <conditionalFormatting sqref="R15:AM15 P16:AM32">
    <cfRule type="cellIs" dxfId="7" priority="91" operator="equal">
      <formula>"Не обслуживается"</formula>
    </cfRule>
  </conditionalFormatting>
  <conditionalFormatting sqref="R34:AM34 P35:AM51">
    <cfRule type="cellIs" dxfId="6" priority="67" operator="equal">
      <formula>"Не обслуживается"</formula>
    </cfRule>
  </conditionalFormatting>
  <conditionalFormatting sqref="R53:AM53 P54:AM68 Q95:R95 T95 R105:V105 P106:V108 P109:Q109 S109:V109">
    <cfRule type="cellIs" dxfId="5" priority="6" operator="equal">
      <formula>"Не обслуживается"</formula>
    </cfRule>
    <cfRule type="cellIs" dxfId="4" priority="7" operator="equal">
      <formula>"Нет данных"</formula>
    </cfRule>
  </conditionalFormatting>
  <conditionalFormatting sqref="T97">
    <cfRule type="cellIs" dxfId="3" priority="8" operator="equal">
      <formula>"Не обслуживается"</formula>
    </cfRule>
    <cfRule type="cellIs" dxfId="2" priority="9" operator="equal">
      <formula>"Нет данных"</formula>
    </cfRule>
  </conditionalFormatting>
  <conditionalFormatting sqref="AM88 P88:AI89 AJ89:AM89">
    <cfRule type="cellIs" dxfId="1" priority="16" operator="equal">
      <formula>"Не обслуживается"</formula>
    </cfRule>
    <cfRule type="cellIs" dxfId="0" priority="17" operator="equal">
      <formula>"Нет данных"</formula>
    </cfRule>
  </conditionalFormatting>
  <pageMargins left="0.7" right="0.7" top="0.75" bottom="0.75" header="0.3" footer="0.3"/>
  <pageSetup paperSize="9" orientation="portrait" r:id="rId1"/>
  <ignoredErrors>
    <ignoredError sqref="AB59:AB68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/>
  </sheetPr>
  <dimension ref="C1:J112"/>
  <sheetViews>
    <sheetView topLeftCell="C1" workbookViewId="0">
      <pane ySplit="3" topLeftCell="A4" activePane="bottomLeft" state="frozen"/>
      <selection pane="bottomLeft" activeCell="M24" sqref="M24"/>
    </sheetView>
  </sheetViews>
  <sheetFormatPr defaultColWidth="11.5546875" defaultRowHeight="14.4"/>
  <cols>
    <col min="1" max="2" width="3.109375" customWidth="1"/>
    <col min="3" max="3" width="43.77734375" customWidth="1"/>
    <col min="4" max="4" width="43.77734375" style="43" customWidth="1"/>
    <col min="5" max="6" width="33.109375" customWidth="1"/>
    <col min="7" max="7" width="16.44140625" customWidth="1"/>
    <col min="8" max="9" width="13.77734375" customWidth="1"/>
    <col min="10" max="10" width="11.77734375" customWidth="1"/>
  </cols>
  <sheetData>
    <row r="1" spans="3:10" ht="21.6" thickBot="1">
      <c r="C1" s="1" t="s">
        <v>31</v>
      </c>
      <c r="D1" s="42"/>
      <c r="E1" s="1"/>
      <c r="F1" s="1"/>
    </row>
    <row r="2" spans="3:10" ht="16.95" customHeight="1" thickBot="1">
      <c r="C2" s="234"/>
      <c r="D2" s="235"/>
      <c r="E2" s="235"/>
      <c r="F2" s="235"/>
      <c r="G2" s="235"/>
      <c r="H2" s="235"/>
      <c r="I2" s="235"/>
      <c r="J2" s="236"/>
    </row>
    <row r="3" spans="3:10" ht="47.4" thickBot="1">
      <c r="C3" s="41" t="s">
        <v>75</v>
      </c>
      <c r="D3" s="40" t="s">
        <v>3</v>
      </c>
      <c r="E3" s="36" t="s">
        <v>34</v>
      </c>
      <c r="F3" s="36" t="s">
        <v>35</v>
      </c>
      <c r="G3" s="36" t="s">
        <v>25</v>
      </c>
      <c r="H3" s="36" t="s">
        <v>36</v>
      </c>
      <c r="I3" s="36" t="s">
        <v>37</v>
      </c>
      <c r="J3" s="37" t="s">
        <v>30</v>
      </c>
    </row>
    <row r="4" spans="3:10" ht="16.05" customHeight="1">
      <c r="C4" s="242" t="s">
        <v>4</v>
      </c>
      <c r="D4" s="143" t="s">
        <v>41</v>
      </c>
      <c r="E4" s="2" t="s">
        <v>27</v>
      </c>
      <c r="F4" s="2" t="s">
        <v>27</v>
      </c>
      <c r="G4" s="2" t="s">
        <v>29</v>
      </c>
      <c r="H4" s="2"/>
      <c r="I4" s="2"/>
      <c r="J4" s="3">
        <v>49.5</v>
      </c>
    </row>
    <row r="5" spans="3:10" ht="43.2">
      <c r="C5" s="243"/>
      <c r="D5" s="144" t="s">
        <v>5</v>
      </c>
      <c r="E5" s="4" t="s">
        <v>27</v>
      </c>
      <c r="F5" s="4" t="s">
        <v>27</v>
      </c>
      <c r="G5" s="4" t="s">
        <v>6</v>
      </c>
      <c r="H5" s="4"/>
      <c r="I5" s="4"/>
      <c r="J5" s="5">
        <v>66</v>
      </c>
    </row>
    <row r="6" spans="3:10">
      <c r="C6" s="243"/>
      <c r="D6" s="237" t="s">
        <v>63</v>
      </c>
      <c r="E6" s="4">
        <v>30</v>
      </c>
      <c r="F6" s="4">
        <v>0.5</v>
      </c>
      <c r="G6" s="4" t="s">
        <v>26</v>
      </c>
      <c r="H6" s="4">
        <v>1</v>
      </c>
      <c r="I6" s="4">
        <v>1</v>
      </c>
      <c r="J6" s="5">
        <v>7.2</v>
      </c>
    </row>
    <row r="7" spans="3:10">
      <c r="C7" s="243"/>
      <c r="D7" s="237"/>
      <c r="E7" s="4">
        <v>50</v>
      </c>
      <c r="F7" s="4">
        <v>1.5</v>
      </c>
      <c r="G7" s="4" t="s">
        <v>26</v>
      </c>
      <c r="H7" s="4">
        <v>2</v>
      </c>
      <c r="I7" s="4">
        <v>2</v>
      </c>
      <c r="J7" s="5">
        <v>11.6</v>
      </c>
    </row>
    <row r="8" spans="3:10">
      <c r="C8" s="243"/>
      <c r="D8" s="237"/>
      <c r="E8" s="4">
        <v>80</v>
      </c>
      <c r="F8" s="4">
        <v>3</v>
      </c>
      <c r="G8" s="4" t="s">
        <v>26</v>
      </c>
      <c r="H8" s="4">
        <v>3</v>
      </c>
      <c r="I8" s="4">
        <v>3</v>
      </c>
      <c r="J8" s="5">
        <v>16.5</v>
      </c>
    </row>
    <row r="9" spans="3:10">
      <c r="C9" s="243"/>
      <c r="D9" s="237"/>
      <c r="E9" s="4">
        <v>100</v>
      </c>
      <c r="F9" s="4">
        <v>5</v>
      </c>
      <c r="G9" s="4" t="s">
        <v>26</v>
      </c>
      <c r="H9" s="4">
        <v>4</v>
      </c>
      <c r="I9" s="4">
        <v>4</v>
      </c>
      <c r="J9" s="5">
        <v>28.6</v>
      </c>
    </row>
    <row r="10" spans="3:10">
      <c r="C10" s="243"/>
      <c r="D10" s="237"/>
      <c r="E10" s="4">
        <v>120</v>
      </c>
      <c r="F10" s="4">
        <v>10</v>
      </c>
      <c r="G10" s="4" t="s">
        <v>26</v>
      </c>
      <c r="H10" s="4">
        <v>5</v>
      </c>
      <c r="I10" s="4">
        <v>5</v>
      </c>
      <c r="J10" s="5">
        <v>45.7</v>
      </c>
    </row>
    <row r="11" spans="3:10">
      <c r="C11" s="243"/>
      <c r="D11" s="237"/>
      <c r="E11" s="4">
        <v>150</v>
      </c>
      <c r="F11" s="4">
        <v>20</v>
      </c>
      <c r="G11" s="4" t="s">
        <v>26</v>
      </c>
      <c r="H11" s="4">
        <v>6</v>
      </c>
      <c r="I11" s="4">
        <v>6</v>
      </c>
      <c r="J11" s="5">
        <v>68.2</v>
      </c>
    </row>
    <row r="12" spans="3:10">
      <c r="C12" s="243"/>
      <c r="D12" s="237"/>
      <c r="E12" s="4">
        <v>200</v>
      </c>
      <c r="F12" s="4">
        <v>25</v>
      </c>
      <c r="G12" s="4" t="s">
        <v>26</v>
      </c>
      <c r="H12" s="4">
        <v>7</v>
      </c>
      <c r="I12" s="4">
        <v>7</v>
      </c>
      <c r="J12" s="5">
        <v>93.5</v>
      </c>
    </row>
    <row r="13" spans="3:10">
      <c r="C13" s="243"/>
      <c r="D13" s="237"/>
      <c r="E13" s="148">
        <v>270</v>
      </c>
      <c r="F13" s="148">
        <v>50</v>
      </c>
      <c r="G13" s="148" t="s">
        <v>26</v>
      </c>
      <c r="H13" s="148">
        <v>8</v>
      </c>
      <c r="I13" s="148">
        <v>8</v>
      </c>
      <c r="J13" s="149">
        <v>133</v>
      </c>
    </row>
    <row r="14" spans="3:10">
      <c r="C14" s="243"/>
      <c r="D14" s="237"/>
      <c r="E14" s="204" t="s">
        <v>156</v>
      </c>
      <c r="F14" s="204" t="s">
        <v>157</v>
      </c>
      <c r="G14" s="148" t="s">
        <v>26</v>
      </c>
      <c r="H14" s="148">
        <v>9</v>
      </c>
      <c r="I14" s="148">
        <v>9</v>
      </c>
      <c r="J14" s="149">
        <v>189</v>
      </c>
    </row>
    <row r="15" spans="3:10" ht="87" thickBot="1">
      <c r="C15" s="243"/>
      <c r="D15" s="145" t="s">
        <v>7</v>
      </c>
      <c r="E15" s="6" t="s">
        <v>27</v>
      </c>
      <c r="F15" s="6" t="s">
        <v>27</v>
      </c>
      <c r="G15" s="6" t="s">
        <v>26</v>
      </c>
      <c r="H15" s="6"/>
      <c r="I15" s="6"/>
      <c r="J15" s="35">
        <v>33</v>
      </c>
    </row>
    <row r="16" spans="3:10">
      <c r="C16" s="242" t="s">
        <v>8</v>
      </c>
      <c r="D16" s="244" t="s">
        <v>9</v>
      </c>
      <c r="E16" s="146">
        <v>30</v>
      </c>
      <c r="F16" s="146">
        <v>0.5</v>
      </c>
      <c r="G16" s="146" t="s">
        <v>26</v>
      </c>
      <c r="H16" s="146">
        <v>1</v>
      </c>
      <c r="I16" s="146">
        <v>1</v>
      </c>
      <c r="J16" s="147">
        <v>8.6</v>
      </c>
    </row>
    <row r="17" spans="3:10">
      <c r="C17" s="243"/>
      <c r="D17" s="245"/>
      <c r="E17" s="148">
        <v>50</v>
      </c>
      <c r="F17" s="148">
        <v>1.5</v>
      </c>
      <c r="G17" s="148" t="s">
        <v>26</v>
      </c>
      <c r="H17" s="148">
        <v>2</v>
      </c>
      <c r="I17" s="148">
        <v>2</v>
      </c>
      <c r="J17" s="149">
        <v>13.9</v>
      </c>
    </row>
    <row r="18" spans="3:10">
      <c r="C18" s="243"/>
      <c r="D18" s="245"/>
      <c r="E18" s="148">
        <v>80</v>
      </c>
      <c r="F18" s="148">
        <v>3</v>
      </c>
      <c r="G18" s="148" t="s">
        <v>26</v>
      </c>
      <c r="H18" s="148">
        <v>3</v>
      </c>
      <c r="I18" s="148">
        <v>3</v>
      </c>
      <c r="J18" s="149">
        <v>19.8</v>
      </c>
    </row>
    <row r="19" spans="3:10">
      <c r="C19" s="243"/>
      <c r="D19" s="245"/>
      <c r="E19" s="148">
        <v>100</v>
      </c>
      <c r="F19" s="148">
        <v>5</v>
      </c>
      <c r="G19" s="148" t="s">
        <v>26</v>
      </c>
      <c r="H19" s="148">
        <v>4</v>
      </c>
      <c r="I19" s="148">
        <v>4</v>
      </c>
      <c r="J19" s="149">
        <v>34.4</v>
      </c>
    </row>
    <row r="20" spans="3:10">
      <c r="C20" s="243"/>
      <c r="D20" s="245"/>
      <c r="E20" s="148">
        <v>120</v>
      </c>
      <c r="F20" s="148">
        <v>10</v>
      </c>
      <c r="G20" s="148" t="s">
        <v>26</v>
      </c>
      <c r="H20" s="148">
        <v>5</v>
      </c>
      <c r="I20" s="148">
        <v>5</v>
      </c>
      <c r="J20" s="149">
        <v>54.8</v>
      </c>
    </row>
    <row r="21" spans="3:10">
      <c r="C21" s="243"/>
      <c r="D21" s="245"/>
      <c r="E21" s="148">
        <v>150</v>
      </c>
      <c r="F21" s="148">
        <v>20</v>
      </c>
      <c r="G21" s="148" t="s">
        <v>26</v>
      </c>
      <c r="H21" s="148">
        <v>6</v>
      </c>
      <c r="I21" s="148">
        <v>6</v>
      </c>
      <c r="J21" s="149">
        <v>81.900000000000006</v>
      </c>
    </row>
    <row r="22" spans="3:10">
      <c r="C22" s="243"/>
      <c r="D22" s="245"/>
      <c r="E22" s="148">
        <v>200</v>
      </c>
      <c r="F22" s="148">
        <v>25</v>
      </c>
      <c r="G22" s="148" t="s">
        <v>26</v>
      </c>
      <c r="H22" s="148">
        <v>7</v>
      </c>
      <c r="I22" s="148">
        <v>7</v>
      </c>
      <c r="J22" s="149">
        <v>112.2</v>
      </c>
    </row>
    <row r="23" spans="3:10">
      <c r="C23" s="243"/>
      <c r="D23" s="245"/>
      <c r="E23" s="148">
        <v>270</v>
      </c>
      <c r="F23" s="148">
        <v>50</v>
      </c>
      <c r="G23" s="148" t="s">
        <v>26</v>
      </c>
      <c r="H23" s="148">
        <v>8</v>
      </c>
      <c r="I23" s="148">
        <v>8</v>
      </c>
      <c r="J23" s="149">
        <v>159</v>
      </c>
    </row>
    <row r="24" spans="3:10" ht="15" thickBot="1">
      <c r="C24" s="243"/>
      <c r="D24" s="245"/>
      <c r="E24" s="200" t="s">
        <v>156</v>
      </c>
      <c r="F24" s="200" t="s">
        <v>157</v>
      </c>
      <c r="G24" s="150" t="s">
        <v>26</v>
      </c>
      <c r="H24" s="150">
        <v>9</v>
      </c>
      <c r="I24" s="150">
        <v>9</v>
      </c>
      <c r="J24" s="151">
        <v>225</v>
      </c>
    </row>
    <row r="25" spans="3:10" ht="72">
      <c r="C25" s="243"/>
      <c r="D25" s="198" t="s">
        <v>72</v>
      </c>
      <c r="E25" s="146">
        <v>200</v>
      </c>
      <c r="F25" s="146">
        <v>25</v>
      </c>
      <c r="G25" s="146" t="s">
        <v>29</v>
      </c>
      <c r="H25" s="146"/>
      <c r="I25" s="146"/>
      <c r="J25" s="147">
        <v>54.5</v>
      </c>
    </row>
    <row r="26" spans="3:10" ht="72.599999999999994" thickBot="1">
      <c r="C26" s="243"/>
      <c r="D26" s="199" t="s">
        <v>72</v>
      </c>
      <c r="E26" s="200" t="s">
        <v>154</v>
      </c>
      <c r="F26" s="200" t="s">
        <v>155</v>
      </c>
      <c r="G26" s="154" t="s">
        <v>29</v>
      </c>
      <c r="H26" s="154"/>
      <c r="I26" s="154"/>
      <c r="J26" s="155">
        <v>150</v>
      </c>
    </row>
    <row r="27" spans="3:10" ht="28.8">
      <c r="C27" s="243"/>
      <c r="D27" s="195" t="s">
        <v>1</v>
      </c>
      <c r="E27" s="196" t="s">
        <v>27</v>
      </c>
      <c r="F27" s="196" t="s">
        <v>27</v>
      </c>
      <c r="G27" s="196" t="s">
        <v>2</v>
      </c>
      <c r="H27" s="196"/>
      <c r="I27" s="196"/>
      <c r="J27" s="197">
        <v>165</v>
      </c>
    </row>
    <row r="28" spans="3:10" ht="43.2">
      <c r="C28" s="243"/>
      <c r="D28" s="144" t="s">
        <v>64</v>
      </c>
      <c r="E28" s="148" t="s">
        <v>27</v>
      </c>
      <c r="F28" s="148" t="s">
        <v>27</v>
      </c>
      <c r="G28" s="148" t="s">
        <v>65</v>
      </c>
      <c r="H28" s="148"/>
      <c r="I28" s="148"/>
      <c r="J28" s="149">
        <v>12.1</v>
      </c>
    </row>
    <row r="29" spans="3:10" ht="28.8">
      <c r="C29" s="243"/>
      <c r="D29" s="144" t="s">
        <v>66</v>
      </c>
      <c r="E29" s="148" t="s">
        <v>27</v>
      </c>
      <c r="F29" s="148" t="s">
        <v>27</v>
      </c>
      <c r="G29" s="148" t="s">
        <v>65</v>
      </c>
      <c r="H29" s="148"/>
      <c r="I29" s="148"/>
      <c r="J29" s="149">
        <v>38.5</v>
      </c>
    </row>
    <row r="30" spans="3:10">
      <c r="C30" s="243"/>
      <c r="D30" s="246" t="s">
        <v>10</v>
      </c>
      <c r="E30" s="148">
        <v>30</v>
      </c>
      <c r="F30" s="148">
        <v>0.5</v>
      </c>
      <c r="G30" s="148" t="s">
        <v>29</v>
      </c>
      <c r="H30" s="148">
        <v>1</v>
      </c>
      <c r="I30" s="148">
        <v>1</v>
      </c>
      <c r="J30" s="149">
        <v>12.1</v>
      </c>
    </row>
    <row r="31" spans="3:10">
      <c r="C31" s="243"/>
      <c r="D31" s="245"/>
      <c r="E31" s="148">
        <v>50</v>
      </c>
      <c r="F31" s="148">
        <v>1.5</v>
      </c>
      <c r="G31" s="148" t="s">
        <v>29</v>
      </c>
      <c r="H31" s="148">
        <v>2</v>
      </c>
      <c r="I31" s="148">
        <v>2</v>
      </c>
      <c r="J31" s="149">
        <v>12.1</v>
      </c>
    </row>
    <row r="32" spans="3:10">
      <c r="C32" s="243"/>
      <c r="D32" s="245"/>
      <c r="E32" s="148">
        <v>80</v>
      </c>
      <c r="F32" s="148">
        <v>3</v>
      </c>
      <c r="G32" s="148" t="s">
        <v>29</v>
      </c>
      <c r="H32" s="148">
        <v>3</v>
      </c>
      <c r="I32" s="148">
        <v>3</v>
      </c>
      <c r="J32" s="149">
        <v>16.5</v>
      </c>
    </row>
    <row r="33" spans="3:10">
      <c r="C33" s="243"/>
      <c r="D33" s="245"/>
      <c r="E33" s="148">
        <v>100</v>
      </c>
      <c r="F33" s="148">
        <v>5</v>
      </c>
      <c r="G33" s="148" t="s">
        <v>29</v>
      </c>
      <c r="H33" s="148">
        <v>4</v>
      </c>
      <c r="I33" s="148">
        <v>4</v>
      </c>
      <c r="J33" s="149">
        <v>22</v>
      </c>
    </row>
    <row r="34" spans="3:10">
      <c r="C34" s="243"/>
      <c r="D34" s="245"/>
      <c r="E34" s="148">
        <v>120</v>
      </c>
      <c r="F34" s="148">
        <v>10</v>
      </c>
      <c r="G34" s="148" t="s">
        <v>29</v>
      </c>
      <c r="H34" s="148">
        <v>5</v>
      </c>
      <c r="I34" s="148">
        <v>5</v>
      </c>
      <c r="J34" s="149">
        <v>33</v>
      </c>
    </row>
    <row r="35" spans="3:10">
      <c r="C35" s="243"/>
      <c r="D35" s="245"/>
      <c r="E35" s="148">
        <v>150</v>
      </c>
      <c r="F35" s="148">
        <v>20</v>
      </c>
      <c r="G35" s="148" t="s">
        <v>29</v>
      </c>
      <c r="H35" s="148">
        <v>6</v>
      </c>
      <c r="I35" s="148">
        <v>6</v>
      </c>
      <c r="J35" s="149">
        <v>66</v>
      </c>
    </row>
    <row r="36" spans="3:10">
      <c r="C36" s="243"/>
      <c r="D36" s="245"/>
      <c r="E36" s="150">
        <v>200</v>
      </c>
      <c r="F36" s="150">
        <v>25</v>
      </c>
      <c r="G36" s="150" t="s">
        <v>29</v>
      </c>
      <c r="H36" s="150">
        <v>7</v>
      </c>
      <c r="I36" s="150">
        <v>7</v>
      </c>
      <c r="J36" s="151">
        <v>88</v>
      </c>
    </row>
    <row r="37" spans="3:10">
      <c r="C37" s="243"/>
      <c r="D37" s="245"/>
      <c r="E37" s="148">
        <v>270</v>
      </c>
      <c r="F37" s="148">
        <v>50</v>
      </c>
      <c r="G37" s="148" t="s">
        <v>26</v>
      </c>
      <c r="H37" s="148">
        <v>8</v>
      </c>
      <c r="I37" s="148">
        <v>8</v>
      </c>
      <c r="J37" s="149">
        <v>132</v>
      </c>
    </row>
    <row r="38" spans="3:10" ht="15" thickBot="1">
      <c r="C38" s="243"/>
      <c r="D38" s="245"/>
      <c r="E38" s="200" t="s">
        <v>156</v>
      </c>
      <c r="F38" s="200" t="s">
        <v>157</v>
      </c>
      <c r="G38" s="148" t="s">
        <v>26</v>
      </c>
      <c r="H38" s="148">
        <v>9</v>
      </c>
      <c r="I38" s="148">
        <v>9</v>
      </c>
      <c r="J38" s="149">
        <v>224</v>
      </c>
    </row>
    <row r="39" spans="3:10">
      <c r="C39" s="242" t="s">
        <v>67</v>
      </c>
      <c r="D39" s="250" t="s">
        <v>68</v>
      </c>
      <c r="E39" s="2">
        <v>30</v>
      </c>
      <c r="F39" s="2">
        <v>0.5</v>
      </c>
      <c r="G39" s="2" t="s">
        <v>26</v>
      </c>
      <c r="H39" s="146">
        <v>1</v>
      </c>
      <c r="I39" s="146">
        <v>1</v>
      </c>
      <c r="J39" s="3">
        <v>8.3000000000000007</v>
      </c>
    </row>
    <row r="40" spans="3:10">
      <c r="C40" s="243"/>
      <c r="D40" s="251"/>
      <c r="E40" s="4">
        <v>50</v>
      </c>
      <c r="F40" s="4">
        <v>1.5</v>
      </c>
      <c r="G40" s="4" t="s">
        <v>26</v>
      </c>
      <c r="H40" s="148">
        <v>2</v>
      </c>
      <c r="I40" s="148">
        <v>2</v>
      </c>
      <c r="J40" s="5">
        <v>13.3</v>
      </c>
    </row>
    <row r="41" spans="3:10">
      <c r="C41" s="243"/>
      <c r="D41" s="251"/>
      <c r="E41" s="4">
        <v>80</v>
      </c>
      <c r="F41" s="4">
        <v>3</v>
      </c>
      <c r="G41" s="4" t="s">
        <v>26</v>
      </c>
      <c r="H41" s="148">
        <v>3</v>
      </c>
      <c r="I41" s="148">
        <v>3</v>
      </c>
      <c r="J41" s="5">
        <v>19</v>
      </c>
    </row>
    <row r="42" spans="3:10">
      <c r="C42" s="243"/>
      <c r="D42" s="251"/>
      <c r="E42" s="4">
        <v>100</v>
      </c>
      <c r="F42" s="4">
        <v>5</v>
      </c>
      <c r="G42" s="4" t="s">
        <v>26</v>
      </c>
      <c r="H42" s="148">
        <v>4</v>
      </c>
      <c r="I42" s="148">
        <v>4</v>
      </c>
      <c r="J42" s="5">
        <v>32.9</v>
      </c>
    </row>
    <row r="43" spans="3:10">
      <c r="C43" s="243"/>
      <c r="D43" s="251"/>
      <c r="E43" s="4">
        <v>120</v>
      </c>
      <c r="F43" s="4">
        <v>10</v>
      </c>
      <c r="G43" s="4" t="s">
        <v>26</v>
      </c>
      <c r="H43" s="148">
        <v>5</v>
      </c>
      <c r="I43" s="148">
        <v>5</v>
      </c>
      <c r="J43" s="5">
        <v>52.5</v>
      </c>
    </row>
    <row r="44" spans="3:10">
      <c r="C44" s="243"/>
      <c r="D44" s="251"/>
      <c r="E44" s="4">
        <v>150</v>
      </c>
      <c r="F44" s="4">
        <v>20</v>
      </c>
      <c r="G44" s="4" t="s">
        <v>26</v>
      </c>
      <c r="H44" s="148">
        <v>6</v>
      </c>
      <c r="I44" s="148">
        <v>6</v>
      </c>
      <c r="J44" s="5">
        <v>78.5</v>
      </c>
    </row>
    <row r="45" spans="3:10">
      <c r="C45" s="243"/>
      <c r="D45" s="251"/>
      <c r="E45" s="4">
        <v>200</v>
      </c>
      <c r="F45" s="4">
        <v>25</v>
      </c>
      <c r="G45" s="4" t="s">
        <v>26</v>
      </c>
      <c r="H45" s="148">
        <v>7</v>
      </c>
      <c r="I45" s="148">
        <v>7</v>
      </c>
      <c r="J45" s="5">
        <v>107.6</v>
      </c>
    </row>
    <row r="46" spans="3:10">
      <c r="C46" s="243"/>
      <c r="D46" s="251"/>
      <c r="E46" s="148">
        <v>270</v>
      </c>
      <c r="F46" s="148">
        <v>50</v>
      </c>
      <c r="G46" s="148" t="s">
        <v>26</v>
      </c>
      <c r="H46" s="148">
        <v>8</v>
      </c>
      <c r="I46" s="148">
        <v>8</v>
      </c>
      <c r="J46" s="149">
        <v>152.5</v>
      </c>
    </row>
    <row r="47" spans="3:10">
      <c r="C47" s="243"/>
      <c r="D47" s="252"/>
      <c r="E47" s="204" t="s">
        <v>156</v>
      </c>
      <c r="F47" s="204" t="s">
        <v>157</v>
      </c>
      <c r="G47" s="148" t="s">
        <v>26</v>
      </c>
      <c r="H47" s="148">
        <v>9</v>
      </c>
      <c r="I47" s="148">
        <v>9</v>
      </c>
      <c r="J47" s="149">
        <v>216.5</v>
      </c>
    </row>
    <row r="48" spans="3:10">
      <c r="C48" s="243"/>
      <c r="D48" s="253" t="s">
        <v>73</v>
      </c>
      <c r="E48" s="4">
        <v>30</v>
      </c>
      <c r="F48" s="4">
        <v>0.5</v>
      </c>
      <c r="G48" s="4" t="s">
        <v>29</v>
      </c>
      <c r="H48" s="148">
        <v>1</v>
      </c>
      <c r="I48" s="148">
        <v>1</v>
      </c>
      <c r="J48" s="5">
        <v>33</v>
      </c>
    </row>
    <row r="49" spans="3:10">
      <c r="C49" s="243"/>
      <c r="D49" s="251"/>
      <c r="E49" s="4">
        <v>50</v>
      </c>
      <c r="F49" s="4">
        <v>1.5</v>
      </c>
      <c r="G49" s="4" t="s">
        <v>29</v>
      </c>
      <c r="H49" s="148">
        <v>2</v>
      </c>
      <c r="I49" s="148">
        <v>2</v>
      </c>
      <c r="J49" s="5">
        <v>36.299999999999997</v>
      </c>
    </row>
    <row r="50" spans="3:10">
      <c r="C50" s="243"/>
      <c r="D50" s="251"/>
      <c r="E50" s="4">
        <v>80</v>
      </c>
      <c r="F50" s="4">
        <v>3</v>
      </c>
      <c r="G50" s="4" t="s">
        <v>29</v>
      </c>
      <c r="H50" s="148">
        <v>3</v>
      </c>
      <c r="I50" s="148">
        <v>3</v>
      </c>
      <c r="J50" s="5">
        <v>45</v>
      </c>
    </row>
    <row r="51" spans="3:10">
      <c r="C51" s="243"/>
      <c r="D51" s="251"/>
      <c r="E51" s="4">
        <v>100</v>
      </c>
      <c r="F51" s="4">
        <v>5</v>
      </c>
      <c r="G51" s="4" t="s">
        <v>29</v>
      </c>
      <c r="H51" s="148">
        <v>4</v>
      </c>
      <c r="I51" s="148">
        <v>4</v>
      </c>
      <c r="J51" s="5">
        <v>63</v>
      </c>
    </row>
    <row r="52" spans="3:10">
      <c r="C52" s="243"/>
      <c r="D52" s="251"/>
      <c r="E52" s="4">
        <v>120</v>
      </c>
      <c r="F52" s="4">
        <v>10</v>
      </c>
      <c r="G52" s="4" t="s">
        <v>29</v>
      </c>
      <c r="H52" s="148">
        <v>5</v>
      </c>
      <c r="I52" s="148">
        <v>5</v>
      </c>
      <c r="J52" s="5">
        <v>87</v>
      </c>
    </row>
    <row r="53" spans="3:10">
      <c r="C53" s="243"/>
      <c r="D53" s="251"/>
      <c r="E53" s="4">
        <v>150</v>
      </c>
      <c r="F53" s="4">
        <v>20</v>
      </c>
      <c r="G53" s="4" t="s">
        <v>29</v>
      </c>
      <c r="H53" s="148">
        <v>6</v>
      </c>
      <c r="I53" s="148">
        <v>6</v>
      </c>
      <c r="J53" s="5">
        <v>120</v>
      </c>
    </row>
    <row r="54" spans="3:10">
      <c r="C54" s="243"/>
      <c r="D54" s="251"/>
      <c r="E54" s="38">
        <v>200</v>
      </c>
      <c r="F54" s="38">
        <v>25</v>
      </c>
      <c r="G54" s="38" t="s">
        <v>29</v>
      </c>
      <c r="H54" s="150">
        <v>7</v>
      </c>
      <c r="I54" s="150">
        <v>7</v>
      </c>
      <c r="J54" s="39">
        <v>155</v>
      </c>
    </row>
    <row r="55" spans="3:10">
      <c r="C55" s="243"/>
      <c r="D55" s="251"/>
      <c r="E55" s="148">
        <v>270</v>
      </c>
      <c r="F55" s="148">
        <v>50</v>
      </c>
      <c r="G55" s="150" t="s">
        <v>29</v>
      </c>
      <c r="H55" s="148">
        <v>8</v>
      </c>
      <c r="I55" s="148">
        <v>8</v>
      </c>
      <c r="J55" s="149">
        <v>216</v>
      </c>
    </row>
    <row r="56" spans="3:10" ht="15" thickBot="1">
      <c r="C56" s="243"/>
      <c r="D56" s="251"/>
      <c r="E56" s="200" t="s">
        <v>156</v>
      </c>
      <c r="F56" s="200" t="s">
        <v>157</v>
      </c>
      <c r="G56" s="150" t="s">
        <v>29</v>
      </c>
      <c r="H56" s="148">
        <v>9</v>
      </c>
      <c r="I56" s="148">
        <v>9</v>
      </c>
      <c r="J56" s="149">
        <v>312</v>
      </c>
    </row>
    <row r="57" spans="3:10">
      <c r="C57" s="242" t="s">
        <v>11</v>
      </c>
      <c r="D57" s="244" t="s">
        <v>12</v>
      </c>
      <c r="E57" s="146">
        <v>30</v>
      </c>
      <c r="F57" s="146">
        <v>0.5</v>
      </c>
      <c r="G57" s="146" t="s">
        <v>74</v>
      </c>
      <c r="H57" s="146">
        <v>1</v>
      </c>
      <c r="I57" s="146">
        <v>1</v>
      </c>
      <c r="J57" s="147">
        <v>0.6</v>
      </c>
    </row>
    <row r="58" spans="3:10">
      <c r="C58" s="243"/>
      <c r="D58" s="245"/>
      <c r="E58" s="148">
        <v>50</v>
      </c>
      <c r="F58" s="148">
        <v>1.5</v>
      </c>
      <c r="G58" s="148" t="s">
        <v>74</v>
      </c>
      <c r="H58" s="148">
        <v>2</v>
      </c>
      <c r="I58" s="148">
        <v>2</v>
      </c>
      <c r="J58" s="149">
        <v>0.6</v>
      </c>
    </row>
    <row r="59" spans="3:10">
      <c r="C59" s="243"/>
      <c r="D59" s="245"/>
      <c r="E59" s="148">
        <v>80</v>
      </c>
      <c r="F59" s="148">
        <v>3</v>
      </c>
      <c r="G59" s="148" t="s">
        <v>74</v>
      </c>
      <c r="H59" s="148">
        <v>3</v>
      </c>
      <c r="I59" s="148">
        <v>3</v>
      </c>
      <c r="J59" s="149">
        <v>0.9</v>
      </c>
    </row>
    <row r="60" spans="3:10">
      <c r="C60" s="243"/>
      <c r="D60" s="245"/>
      <c r="E60" s="148">
        <v>100</v>
      </c>
      <c r="F60" s="148">
        <v>5</v>
      </c>
      <c r="G60" s="148" t="s">
        <v>74</v>
      </c>
      <c r="H60" s="148">
        <v>4</v>
      </c>
      <c r="I60" s="148">
        <v>4</v>
      </c>
      <c r="J60" s="149">
        <v>1.7</v>
      </c>
    </row>
    <row r="61" spans="3:10">
      <c r="C61" s="243"/>
      <c r="D61" s="245"/>
      <c r="E61" s="148">
        <v>120</v>
      </c>
      <c r="F61" s="148">
        <v>10</v>
      </c>
      <c r="G61" s="148" t="s">
        <v>74</v>
      </c>
      <c r="H61" s="148">
        <v>5</v>
      </c>
      <c r="I61" s="148">
        <v>5</v>
      </c>
      <c r="J61" s="149">
        <v>3.3</v>
      </c>
    </row>
    <row r="62" spans="3:10">
      <c r="C62" s="243"/>
      <c r="D62" s="245"/>
      <c r="E62" s="148">
        <v>150</v>
      </c>
      <c r="F62" s="148">
        <v>20</v>
      </c>
      <c r="G62" s="148" t="s">
        <v>74</v>
      </c>
      <c r="H62" s="148">
        <v>6</v>
      </c>
      <c r="I62" s="148">
        <v>6</v>
      </c>
      <c r="J62" s="205" t="s">
        <v>60</v>
      </c>
    </row>
    <row r="63" spans="3:10">
      <c r="C63" s="243"/>
      <c r="D63" s="245"/>
      <c r="E63" s="148">
        <v>200</v>
      </c>
      <c r="F63" s="148">
        <v>25</v>
      </c>
      <c r="G63" s="148" t="s">
        <v>74</v>
      </c>
      <c r="H63" s="148">
        <v>7</v>
      </c>
      <c r="I63" s="148">
        <v>7</v>
      </c>
      <c r="J63" s="205" t="s">
        <v>60</v>
      </c>
    </row>
    <row r="64" spans="3:10">
      <c r="C64" s="243"/>
      <c r="D64" s="245"/>
      <c r="E64" s="148">
        <v>270</v>
      </c>
      <c r="F64" s="148">
        <v>50</v>
      </c>
      <c r="G64" s="148" t="s">
        <v>74</v>
      </c>
      <c r="H64" s="148">
        <v>8</v>
      </c>
      <c r="I64" s="148">
        <v>8</v>
      </c>
      <c r="J64" s="205" t="s">
        <v>60</v>
      </c>
    </row>
    <row r="65" spans="3:10">
      <c r="C65" s="243"/>
      <c r="D65" s="255"/>
      <c r="E65" s="204" t="s">
        <v>156</v>
      </c>
      <c r="F65" s="204" t="s">
        <v>157</v>
      </c>
      <c r="G65" s="148" t="s">
        <v>74</v>
      </c>
      <c r="H65" s="148">
        <v>9</v>
      </c>
      <c r="I65" s="148">
        <v>9</v>
      </c>
      <c r="J65" s="205" t="s">
        <v>60</v>
      </c>
    </row>
    <row r="66" spans="3:10" ht="15" thickBot="1">
      <c r="C66" s="254"/>
      <c r="D66" s="145" t="s">
        <v>13</v>
      </c>
      <c r="E66" s="154" t="s">
        <v>153</v>
      </c>
      <c r="F66" s="200" t="s">
        <v>60</v>
      </c>
      <c r="G66" s="150" t="s">
        <v>32</v>
      </c>
      <c r="H66" s="150"/>
      <c r="I66" s="150"/>
      <c r="J66" s="151">
        <v>28.6</v>
      </c>
    </row>
    <row r="67" spans="3:10" ht="28.8">
      <c r="C67" s="242" t="s">
        <v>70</v>
      </c>
      <c r="D67" s="152" t="s">
        <v>24</v>
      </c>
      <c r="E67" s="146" t="s">
        <v>27</v>
      </c>
      <c r="F67" s="146" t="s">
        <v>27</v>
      </c>
      <c r="G67" s="146" t="s">
        <v>26</v>
      </c>
      <c r="H67" s="146"/>
      <c r="I67" s="146"/>
      <c r="J67" s="147">
        <v>6.6</v>
      </c>
    </row>
    <row r="68" spans="3:10">
      <c r="C68" s="243"/>
      <c r="D68" s="256" t="s">
        <v>69</v>
      </c>
      <c r="E68" s="148">
        <v>30</v>
      </c>
      <c r="F68" s="148">
        <v>0.5</v>
      </c>
      <c r="G68" s="148" t="s">
        <v>26</v>
      </c>
      <c r="H68" s="148">
        <v>1</v>
      </c>
      <c r="I68" s="148">
        <v>1</v>
      </c>
      <c r="J68" s="149">
        <v>11</v>
      </c>
    </row>
    <row r="69" spans="3:10">
      <c r="C69" s="243"/>
      <c r="D69" s="256"/>
      <c r="E69" s="148">
        <v>50</v>
      </c>
      <c r="F69" s="148">
        <v>1.5</v>
      </c>
      <c r="G69" s="148" t="s">
        <v>26</v>
      </c>
      <c r="H69" s="148">
        <v>2</v>
      </c>
      <c r="I69" s="148">
        <v>2</v>
      </c>
      <c r="J69" s="149">
        <v>18.7</v>
      </c>
    </row>
    <row r="70" spans="3:10">
      <c r="C70" s="243"/>
      <c r="D70" s="256"/>
      <c r="E70" s="148">
        <v>80</v>
      </c>
      <c r="F70" s="148">
        <v>3</v>
      </c>
      <c r="G70" s="148" t="s">
        <v>26</v>
      </c>
      <c r="H70" s="148">
        <v>3</v>
      </c>
      <c r="I70" s="148">
        <v>3</v>
      </c>
      <c r="J70" s="149">
        <v>27.5</v>
      </c>
    </row>
    <row r="71" spans="3:10">
      <c r="C71" s="243"/>
      <c r="D71" s="256"/>
      <c r="E71" s="148">
        <v>100</v>
      </c>
      <c r="F71" s="148">
        <v>5</v>
      </c>
      <c r="G71" s="148" t="s">
        <v>26</v>
      </c>
      <c r="H71" s="148">
        <v>4</v>
      </c>
      <c r="I71" s="148">
        <v>4</v>
      </c>
      <c r="J71" s="149">
        <v>47.3</v>
      </c>
    </row>
    <row r="72" spans="3:10">
      <c r="C72" s="243"/>
      <c r="D72" s="256"/>
      <c r="E72" s="148">
        <v>120</v>
      </c>
      <c r="F72" s="148">
        <v>10</v>
      </c>
      <c r="G72" s="148" t="s">
        <v>26</v>
      </c>
      <c r="H72" s="148">
        <v>5</v>
      </c>
      <c r="I72" s="148">
        <v>5</v>
      </c>
      <c r="J72" s="149">
        <v>77</v>
      </c>
    </row>
    <row r="73" spans="3:10">
      <c r="C73" s="243"/>
      <c r="D73" s="256"/>
      <c r="E73" s="148">
        <v>150</v>
      </c>
      <c r="F73" s="148">
        <v>20</v>
      </c>
      <c r="G73" s="148" t="s">
        <v>26</v>
      </c>
      <c r="H73" s="148">
        <v>6</v>
      </c>
      <c r="I73" s="148">
        <v>6</v>
      </c>
      <c r="J73" s="149">
        <v>114.4</v>
      </c>
    </row>
    <row r="74" spans="3:10">
      <c r="C74" s="243"/>
      <c r="D74" s="256"/>
      <c r="E74" s="148">
        <v>200</v>
      </c>
      <c r="F74" s="148">
        <v>25</v>
      </c>
      <c r="G74" s="148" t="s">
        <v>26</v>
      </c>
      <c r="H74" s="148">
        <v>7</v>
      </c>
      <c r="I74" s="148">
        <v>7</v>
      </c>
      <c r="J74" s="149">
        <v>156.19999999999999</v>
      </c>
    </row>
    <row r="75" spans="3:10">
      <c r="C75" s="243"/>
      <c r="D75" s="256"/>
      <c r="E75" s="148">
        <v>270</v>
      </c>
      <c r="F75" s="148">
        <v>50</v>
      </c>
      <c r="G75" s="148" t="s">
        <v>26</v>
      </c>
      <c r="H75" s="148">
        <v>8</v>
      </c>
      <c r="I75" s="148">
        <v>8</v>
      </c>
      <c r="J75" s="205" t="s">
        <v>60</v>
      </c>
    </row>
    <row r="76" spans="3:10">
      <c r="C76" s="243"/>
      <c r="D76" s="256"/>
      <c r="E76" s="204" t="s">
        <v>156</v>
      </c>
      <c r="F76" s="204" t="s">
        <v>157</v>
      </c>
      <c r="G76" s="148" t="s">
        <v>26</v>
      </c>
      <c r="H76" s="148">
        <v>9</v>
      </c>
      <c r="I76" s="148">
        <v>9</v>
      </c>
      <c r="J76" s="205" t="s">
        <v>60</v>
      </c>
    </row>
    <row r="77" spans="3:10" ht="43.2">
      <c r="C77" s="243"/>
      <c r="D77" s="144" t="s">
        <v>23</v>
      </c>
      <c r="E77" s="148" t="s">
        <v>27</v>
      </c>
      <c r="F77" s="148" t="s">
        <v>27</v>
      </c>
      <c r="G77" s="148" t="s">
        <v>26</v>
      </c>
      <c r="H77" s="148"/>
      <c r="I77" s="148"/>
      <c r="J77" s="149">
        <v>11.8</v>
      </c>
    </row>
    <row r="78" spans="3:10" ht="43.2">
      <c r="C78" s="243"/>
      <c r="D78" s="144" t="s">
        <v>14</v>
      </c>
      <c r="E78" s="148" t="s">
        <v>27</v>
      </c>
      <c r="F78" s="148" t="s">
        <v>27</v>
      </c>
      <c r="G78" s="148" t="s">
        <v>26</v>
      </c>
      <c r="H78" s="148"/>
      <c r="I78" s="148"/>
      <c r="J78" s="149">
        <v>18.2</v>
      </c>
    </row>
    <row r="79" spans="3:10">
      <c r="C79" s="243"/>
      <c r="D79" s="144" t="s">
        <v>15</v>
      </c>
      <c r="E79" s="148" t="s">
        <v>27</v>
      </c>
      <c r="F79" s="148" t="s">
        <v>27</v>
      </c>
      <c r="G79" s="148" t="s">
        <v>26</v>
      </c>
      <c r="H79" s="148"/>
      <c r="I79" s="148"/>
      <c r="J79" s="149">
        <v>4</v>
      </c>
    </row>
    <row r="80" spans="3:10" ht="15" thickBot="1">
      <c r="C80" s="254"/>
      <c r="D80" s="153" t="s">
        <v>16</v>
      </c>
      <c r="E80" s="154" t="s">
        <v>27</v>
      </c>
      <c r="F80" s="154" t="s">
        <v>27</v>
      </c>
      <c r="G80" s="154" t="s">
        <v>29</v>
      </c>
      <c r="H80" s="154"/>
      <c r="I80" s="154"/>
      <c r="J80" s="155">
        <v>110</v>
      </c>
    </row>
    <row r="81" spans="3:10">
      <c r="C81" s="247" t="s">
        <v>76</v>
      </c>
      <c r="D81" s="238" t="s">
        <v>28</v>
      </c>
      <c r="E81" s="2">
        <v>30</v>
      </c>
      <c r="F81" s="2">
        <v>0.5</v>
      </c>
      <c r="G81" s="2" t="s">
        <v>26</v>
      </c>
      <c r="H81" s="2">
        <v>1</v>
      </c>
      <c r="I81" s="2">
        <v>1</v>
      </c>
      <c r="J81" s="212">
        <v>10</v>
      </c>
    </row>
    <row r="82" spans="3:10">
      <c r="C82" s="248"/>
      <c r="D82" s="239"/>
      <c r="E82" s="4">
        <v>50</v>
      </c>
      <c r="F82" s="4">
        <v>1.5</v>
      </c>
      <c r="G82" s="4" t="s">
        <v>26</v>
      </c>
      <c r="H82" s="4">
        <v>2</v>
      </c>
      <c r="I82" s="4">
        <v>2</v>
      </c>
      <c r="J82" s="213">
        <v>20</v>
      </c>
    </row>
    <row r="83" spans="3:10">
      <c r="C83" s="248"/>
      <c r="D83" s="239"/>
      <c r="E83" s="4">
        <v>80</v>
      </c>
      <c r="F83" s="4">
        <v>3</v>
      </c>
      <c r="G83" s="4" t="s">
        <v>26</v>
      </c>
      <c r="H83" s="4">
        <v>3</v>
      </c>
      <c r="I83" s="4">
        <v>3</v>
      </c>
      <c r="J83" s="213">
        <v>30</v>
      </c>
    </row>
    <row r="84" spans="3:10">
      <c r="C84" s="248"/>
      <c r="D84" s="239"/>
      <c r="E84" s="4">
        <v>100</v>
      </c>
      <c r="F84" s="4">
        <v>5</v>
      </c>
      <c r="G84" s="4" t="s">
        <v>26</v>
      </c>
      <c r="H84" s="4">
        <v>4</v>
      </c>
      <c r="I84" s="4">
        <v>4</v>
      </c>
      <c r="J84" s="213">
        <v>40</v>
      </c>
    </row>
    <row r="85" spans="3:10">
      <c r="C85" s="248"/>
      <c r="D85" s="239"/>
      <c r="E85" s="4">
        <v>120</v>
      </c>
      <c r="F85" s="4">
        <v>10</v>
      </c>
      <c r="G85" s="4" t="s">
        <v>26</v>
      </c>
      <c r="H85" s="4">
        <v>5</v>
      </c>
      <c r="I85" s="4">
        <v>5</v>
      </c>
      <c r="J85" s="213">
        <v>50</v>
      </c>
    </row>
    <row r="86" spans="3:10">
      <c r="C86" s="248"/>
      <c r="D86" s="239"/>
      <c r="E86" s="4">
        <v>150</v>
      </c>
      <c r="F86" s="4">
        <v>20</v>
      </c>
      <c r="G86" s="4" t="s">
        <v>26</v>
      </c>
      <c r="H86" s="4">
        <v>6</v>
      </c>
      <c r="I86" s="4">
        <v>6</v>
      </c>
      <c r="J86" s="213">
        <v>60</v>
      </c>
    </row>
    <row r="87" spans="3:10">
      <c r="C87" s="248"/>
      <c r="D87" s="240"/>
      <c r="E87" s="4">
        <v>200</v>
      </c>
      <c r="F87" s="4">
        <v>25</v>
      </c>
      <c r="G87" s="4" t="s">
        <v>26</v>
      </c>
      <c r="H87" s="4">
        <v>7</v>
      </c>
      <c r="I87" s="4">
        <v>7</v>
      </c>
      <c r="J87" s="213">
        <v>70</v>
      </c>
    </row>
    <row r="88" spans="3:10">
      <c r="C88" s="248"/>
      <c r="D88" s="240"/>
      <c r="E88" s="148">
        <v>270</v>
      </c>
      <c r="F88" s="148">
        <v>50</v>
      </c>
      <c r="G88" s="148" t="s">
        <v>26</v>
      </c>
      <c r="H88" s="148">
        <v>8</v>
      </c>
      <c r="I88" s="148">
        <v>8</v>
      </c>
      <c r="J88" s="214">
        <v>80</v>
      </c>
    </row>
    <row r="89" spans="3:10" ht="15" thickBot="1">
      <c r="C89" s="249"/>
      <c r="D89" s="241"/>
      <c r="E89" s="200" t="s">
        <v>156</v>
      </c>
      <c r="F89" s="200" t="s">
        <v>157</v>
      </c>
      <c r="G89" s="154" t="s">
        <v>26</v>
      </c>
      <c r="H89" s="154">
        <v>9</v>
      </c>
      <c r="I89" s="154">
        <v>9</v>
      </c>
      <c r="J89" s="215">
        <v>90</v>
      </c>
    </row>
    <row r="92" spans="3:10" ht="21.6" thickBot="1">
      <c r="C92" s="1" t="s">
        <v>130</v>
      </c>
      <c r="D92" s="1"/>
      <c r="E92" s="1"/>
    </row>
    <row r="93" spans="3:10" ht="16.2" thickBot="1">
      <c r="C93" s="156"/>
      <c r="D93" s="157"/>
      <c r="E93" s="157"/>
      <c r="F93" s="158"/>
      <c r="G93" s="201"/>
      <c r="H93" s="202"/>
    </row>
    <row r="94" spans="3:10" ht="16.2" thickBot="1">
      <c r="C94" s="159" t="s">
        <v>119</v>
      </c>
      <c r="D94" s="159" t="s">
        <v>120</v>
      </c>
      <c r="E94" s="160" t="s">
        <v>25</v>
      </c>
      <c r="F94" s="160" t="s">
        <v>121</v>
      </c>
      <c r="G94" s="160" t="s">
        <v>30</v>
      </c>
      <c r="H94" s="161" t="s">
        <v>158</v>
      </c>
    </row>
    <row r="95" spans="3:10">
      <c r="C95" s="231" t="s">
        <v>122</v>
      </c>
      <c r="D95" s="162" t="s">
        <v>60</v>
      </c>
      <c r="E95" s="163" t="s">
        <v>60</v>
      </c>
      <c r="F95" s="2">
        <v>1</v>
      </c>
      <c r="G95" s="203" t="s">
        <v>60</v>
      </c>
      <c r="H95" s="164" t="s">
        <v>60</v>
      </c>
    </row>
    <row r="96" spans="3:10" ht="43.2">
      <c r="C96" s="232"/>
      <c r="D96" s="206" t="s">
        <v>123</v>
      </c>
      <c r="E96" s="148" t="s">
        <v>2</v>
      </c>
      <c r="F96" s="148">
        <v>2</v>
      </c>
      <c r="G96" s="207">
        <v>1800</v>
      </c>
      <c r="H96" s="208">
        <v>1800</v>
      </c>
    </row>
    <row r="97" spans="3:8" ht="43.2">
      <c r="C97" s="232"/>
      <c r="D97" s="206" t="s">
        <v>124</v>
      </c>
      <c r="E97" s="148" t="s">
        <v>2</v>
      </c>
      <c r="F97" s="148">
        <v>3</v>
      </c>
      <c r="G97" s="207">
        <v>1800</v>
      </c>
      <c r="H97" s="208">
        <v>1800</v>
      </c>
    </row>
    <row r="98" spans="3:8" ht="43.2">
      <c r="C98" s="232"/>
      <c r="D98" s="206" t="s">
        <v>165</v>
      </c>
      <c r="E98" s="148" t="s">
        <v>2</v>
      </c>
      <c r="F98" s="148">
        <v>4</v>
      </c>
      <c r="G98" s="207">
        <v>1800</v>
      </c>
      <c r="H98" s="208">
        <v>3600</v>
      </c>
    </row>
    <row r="99" spans="3:8" ht="43.2">
      <c r="C99" s="232"/>
      <c r="D99" s="206" t="s">
        <v>166</v>
      </c>
      <c r="E99" s="148" t="s">
        <v>2</v>
      </c>
      <c r="F99" s="148">
        <v>5</v>
      </c>
      <c r="G99" s="207">
        <v>1800</v>
      </c>
      <c r="H99" s="208">
        <v>3600</v>
      </c>
    </row>
    <row r="100" spans="3:8" ht="43.2">
      <c r="C100" s="232"/>
      <c r="D100" s="206" t="s">
        <v>167</v>
      </c>
      <c r="E100" s="148" t="s">
        <v>2</v>
      </c>
      <c r="F100" s="148">
        <v>6</v>
      </c>
      <c r="G100" s="207">
        <v>2240</v>
      </c>
      <c r="H100" s="208">
        <v>6480</v>
      </c>
    </row>
    <row r="101" spans="3:8" ht="43.2">
      <c r="C101" s="232"/>
      <c r="D101" s="206" t="s">
        <v>168</v>
      </c>
      <c r="E101" s="148" t="s">
        <v>2</v>
      </c>
      <c r="F101" s="148">
        <v>7</v>
      </c>
      <c r="G101" s="207">
        <v>2240</v>
      </c>
      <c r="H101" s="208">
        <v>6480</v>
      </c>
    </row>
    <row r="102" spans="3:8" ht="28.8">
      <c r="C102" s="232"/>
      <c r="D102" s="206" t="s">
        <v>161</v>
      </c>
      <c r="E102" s="148" t="s">
        <v>2</v>
      </c>
      <c r="F102" s="148">
        <v>8</v>
      </c>
      <c r="G102" s="207">
        <v>1800</v>
      </c>
      <c r="H102" s="208">
        <v>1800</v>
      </c>
    </row>
    <row r="103" spans="3:8" ht="28.8">
      <c r="C103" s="232"/>
      <c r="D103" s="206" t="s">
        <v>125</v>
      </c>
      <c r="E103" s="148" t="s">
        <v>2</v>
      </c>
      <c r="F103" s="148">
        <v>9</v>
      </c>
      <c r="G103" s="207">
        <v>1600</v>
      </c>
      <c r="H103" s="208">
        <v>1600</v>
      </c>
    </row>
    <row r="104" spans="3:8" ht="28.8">
      <c r="C104" s="232"/>
      <c r="D104" s="206" t="s">
        <v>126</v>
      </c>
      <c r="E104" s="148" t="s">
        <v>2</v>
      </c>
      <c r="F104" s="148">
        <v>10</v>
      </c>
      <c r="G104" s="207">
        <v>2160</v>
      </c>
      <c r="H104" s="208">
        <v>6480</v>
      </c>
    </row>
    <row r="105" spans="3:8" ht="43.2">
      <c r="C105" s="232"/>
      <c r="D105" s="206" t="s">
        <v>162</v>
      </c>
      <c r="E105" s="148" t="s">
        <v>2</v>
      </c>
      <c r="F105" s="148">
        <v>11</v>
      </c>
      <c r="G105" s="207">
        <v>2240</v>
      </c>
      <c r="H105" s="208">
        <v>6480</v>
      </c>
    </row>
    <row r="106" spans="3:8" ht="28.8">
      <c r="C106" s="232"/>
      <c r="D106" s="206" t="s">
        <v>127</v>
      </c>
      <c r="E106" s="148" t="s">
        <v>2</v>
      </c>
      <c r="F106" s="148">
        <v>12</v>
      </c>
      <c r="G106" s="207">
        <v>1600</v>
      </c>
      <c r="H106" s="208">
        <v>1600</v>
      </c>
    </row>
    <row r="107" spans="3:8" ht="28.8">
      <c r="C107" s="232"/>
      <c r="D107" s="206" t="s">
        <v>159</v>
      </c>
      <c r="E107" s="148" t="s">
        <v>2</v>
      </c>
      <c r="F107" s="148">
        <v>13</v>
      </c>
      <c r="G107" s="207">
        <v>1600</v>
      </c>
      <c r="H107" s="208">
        <v>1600</v>
      </c>
    </row>
    <row r="108" spans="3:8" ht="28.8">
      <c r="C108" s="232"/>
      <c r="D108" s="206" t="s">
        <v>160</v>
      </c>
      <c r="E108" s="148" t="s">
        <v>2</v>
      </c>
      <c r="F108" s="148">
        <v>14</v>
      </c>
      <c r="G108" s="207">
        <v>2160</v>
      </c>
      <c r="H108" s="208">
        <v>4320</v>
      </c>
    </row>
    <row r="109" spans="3:8" ht="24" customHeight="1">
      <c r="C109" s="232"/>
      <c r="D109" s="206" t="s">
        <v>128</v>
      </c>
      <c r="E109" s="148" t="s">
        <v>2</v>
      </c>
      <c r="F109" s="148">
        <v>15</v>
      </c>
      <c r="G109" s="207">
        <v>2160</v>
      </c>
      <c r="H109" s="208">
        <v>4320</v>
      </c>
    </row>
    <row r="110" spans="3:8" ht="28.8">
      <c r="C110" s="232"/>
      <c r="D110" s="206" t="s">
        <v>164</v>
      </c>
      <c r="E110" s="148" t="s">
        <v>2</v>
      </c>
      <c r="F110" s="148">
        <v>16</v>
      </c>
      <c r="G110" s="207">
        <v>1800</v>
      </c>
      <c r="H110" s="208">
        <v>3600</v>
      </c>
    </row>
    <row r="111" spans="3:8" ht="43.2">
      <c r="C111" s="232"/>
      <c r="D111" s="206" t="s">
        <v>163</v>
      </c>
      <c r="E111" s="148" t="s">
        <v>2</v>
      </c>
      <c r="F111" s="148">
        <v>17</v>
      </c>
      <c r="G111" s="207">
        <v>2240</v>
      </c>
      <c r="H111" s="208">
        <v>4480</v>
      </c>
    </row>
    <row r="112" spans="3:8" ht="43.8" thickBot="1">
      <c r="C112" s="233"/>
      <c r="D112" s="209" t="s">
        <v>129</v>
      </c>
      <c r="E112" s="154" t="s">
        <v>2</v>
      </c>
      <c r="F112" s="154">
        <v>18</v>
      </c>
      <c r="G112" s="210">
        <v>2240</v>
      </c>
      <c r="H112" s="211">
        <v>4480</v>
      </c>
    </row>
  </sheetData>
  <sheetProtection sheet="1" objects="1" scenarios="1"/>
  <mergeCells count="16">
    <mergeCell ref="C95:C112"/>
    <mergeCell ref="C2:J2"/>
    <mergeCell ref="D6:D14"/>
    <mergeCell ref="D81:D89"/>
    <mergeCell ref="C4:C15"/>
    <mergeCell ref="D16:D24"/>
    <mergeCell ref="D30:D38"/>
    <mergeCell ref="C16:C38"/>
    <mergeCell ref="C39:C56"/>
    <mergeCell ref="C81:C89"/>
    <mergeCell ref="D39:D47"/>
    <mergeCell ref="D48:D56"/>
    <mergeCell ref="C57:C66"/>
    <mergeCell ref="D57:D65"/>
    <mergeCell ref="D68:D76"/>
    <mergeCell ref="C67:C80"/>
  </mergeCells>
  <phoneticPr fontId="2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4"/>
  </sheetPr>
  <dimension ref="A1:A2"/>
  <sheetViews>
    <sheetView workbookViewId="0">
      <selection activeCell="K51" sqref="K51"/>
    </sheetView>
  </sheetViews>
  <sheetFormatPr defaultColWidth="11.5546875" defaultRowHeight="14.4"/>
  <cols>
    <col min="1" max="1" width="21.44140625" bestFit="1" customWidth="1"/>
  </cols>
  <sheetData>
    <row r="1" spans="1:1">
      <c r="A1" s="74" t="s">
        <v>81</v>
      </c>
    </row>
    <row r="2" spans="1:1">
      <c r="A2" s="74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Калькулятор ФФ</vt:lpstr>
      <vt:lpstr>Тарифы ФФ</vt:lpstr>
      <vt:lpstr>Служебная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Юрий Павлюк</cp:lastModifiedBy>
  <dcterms:created xsi:type="dcterms:W3CDTF">2023-02-12T14:29:42Z</dcterms:created>
  <dcterms:modified xsi:type="dcterms:W3CDTF">2023-09-13T08:27:14Z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2023-02-27T10:02:36Z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259c3124-8567-4712-a0c0-15b7e4ae5d47</vt:lpwstr>
  </property>
  <property fmtid="{D5CDD505-2E9C-101B-9397-08002B2CF9AE}" pid="7" name="MSIP_Label_defa4170-0d19-0005-0004-bc88714345d2_ActionId">
    <vt:lpwstr>291e2eb9-5dbe-49d8-8578-6bb3a837a511</vt:lpwstr>
  </property>
  <property fmtid="{D5CDD505-2E9C-101B-9397-08002B2CF9AE}" pid="8" name="MSIP_Label_defa4170-0d19-0005-0004-bc88714345d2_ContentBits">
    <vt:lpwstr>0</vt:lpwstr>
  </property>
</Properties>
</file>